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ir\Documents\0 - Aktuální\bilance, statistika, evidence, xls (N NS, kompl. NPOH)\0 - bilance OH na web\260813 na web\"/>
    </mc:Choice>
  </mc:AlternateContent>
  <xr:revisionPtr revIDLastSave="0" documentId="13_ncr:1_{CB13ABE2-4B77-40E6-A6E4-36E9E09493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počet" sheetId="7" r:id="rId1"/>
    <sheet name="k tisku" sheetId="9" r:id="rId2"/>
    <sheet name="DPB s PT" sheetId="10" r:id="rId3"/>
  </sheets>
  <definedNames>
    <definedName name="_xlnm.Print_Area" localSheetId="2">'DPB s PT'!$B$1:$K$28</definedName>
    <definedName name="_xlnm.Print_Area" localSheetId="1">'k tisku'!$B$1:$G$68</definedName>
    <definedName name="_xlnm.Print_Area" localSheetId="0">výpočet!$B$1:$G$55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9" l="1"/>
  <c r="F48" i="9"/>
  <c r="G48" i="9" s="1"/>
  <c r="F3" i="7"/>
  <c r="G3" i="7"/>
  <c r="K2" i="10" l="1"/>
  <c r="I2" i="10"/>
  <c r="D2" i="10"/>
  <c r="G4" i="9"/>
  <c r="E4" i="9"/>
  <c r="L39" i="7"/>
  <c r="L20" i="7"/>
  <c r="L13" i="7"/>
  <c r="F56" i="9" l="1"/>
  <c r="Q41" i="7" l="1"/>
  <c r="Q42" i="7"/>
  <c r="Q43" i="7"/>
  <c r="Q44" i="7"/>
  <c r="Q45" i="7"/>
  <c r="Q46" i="7"/>
  <c r="Q47" i="7"/>
  <c r="Q48" i="7"/>
  <c r="Q49" i="7"/>
  <c r="Q50" i="7"/>
  <c r="Q5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21" i="7"/>
  <c r="R47" i="7" l="1"/>
  <c r="L47" i="7"/>
  <c r="F33" i="10" l="1"/>
  <c r="D21" i="9" l="1"/>
  <c r="D19" i="9"/>
  <c r="D20" i="9"/>
  <c r="D18" i="9"/>
  <c r="D41" i="9"/>
  <c r="D42" i="9"/>
  <c r="D43" i="9"/>
  <c r="D39" i="9"/>
  <c r="D40" i="9"/>
  <c r="D35" i="9"/>
  <c r="D36" i="9"/>
  <c r="D37" i="9"/>
  <c r="D38" i="9"/>
  <c r="D32" i="9"/>
  <c r="D33" i="9"/>
  <c r="D34" i="9"/>
  <c r="D29" i="9"/>
  <c r="D30" i="9"/>
  <c r="D31" i="9"/>
  <c r="D28" i="9"/>
  <c r="E41" i="9"/>
  <c r="E42" i="9"/>
  <c r="E43" i="9"/>
  <c r="E38" i="9"/>
  <c r="E39" i="9"/>
  <c r="E40" i="9"/>
  <c r="E35" i="9"/>
  <c r="E36" i="9"/>
  <c r="E37" i="9"/>
  <c r="E32" i="9"/>
  <c r="E33" i="9"/>
  <c r="E34" i="9"/>
  <c r="E29" i="9"/>
  <c r="E30" i="9"/>
  <c r="E31" i="9"/>
  <c r="E28" i="9"/>
  <c r="E58" i="9"/>
  <c r="E55" i="9"/>
  <c r="E56" i="9"/>
  <c r="E57" i="9"/>
  <c r="E52" i="9"/>
  <c r="E53" i="9"/>
  <c r="E54" i="9"/>
  <c r="E49" i="9"/>
  <c r="E50" i="9"/>
  <c r="E51" i="9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21" i="7"/>
  <c r="L41" i="7"/>
  <c r="L42" i="7"/>
  <c r="L43" i="7"/>
  <c r="L44" i="7"/>
  <c r="L45" i="7"/>
  <c r="L46" i="7"/>
  <c r="L48" i="7"/>
  <c r="L49" i="7"/>
  <c r="L50" i="7"/>
  <c r="L51" i="7"/>
  <c r="L40" i="7"/>
  <c r="C10" i="7" l="1"/>
  <c r="P8" i="7" s="1"/>
  <c r="G33" i="10" l="1"/>
  <c r="F49" i="9"/>
  <c r="G49" i="9" s="1"/>
  <c r="F50" i="9"/>
  <c r="G50" i="9" s="1"/>
  <c r="F51" i="9"/>
  <c r="G51" i="9" s="1"/>
  <c r="F52" i="9"/>
  <c r="G52" i="9" s="1"/>
  <c r="F53" i="9"/>
  <c r="G53" i="9" s="1"/>
  <c r="F54" i="9"/>
  <c r="G54" i="9" s="1"/>
  <c r="F55" i="9"/>
  <c r="G55" i="9" s="1"/>
  <c r="G56" i="9"/>
  <c r="F57" i="9"/>
  <c r="G57" i="9" s="1"/>
  <c r="F58" i="9"/>
  <c r="G58" i="9" s="1"/>
  <c r="F29" i="9"/>
  <c r="G29" i="9" s="1"/>
  <c r="F30" i="9"/>
  <c r="G30" i="9" s="1"/>
  <c r="F31" i="9"/>
  <c r="G31" i="9" s="1"/>
  <c r="F32" i="9"/>
  <c r="G32" i="9" s="1"/>
  <c r="F33" i="9"/>
  <c r="G33" i="9" s="1"/>
  <c r="F34" i="9"/>
  <c r="G34" i="9" s="1"/>
  <c r="F35" i="9"/>
  <c r="G35" i="9" s="1"/>
  <c r="F36" i="9"/>
  <c r="G36" i="9" s="1"/>
  <c r="F37" i="9"/>
  <c r="G37" i="9" s="1"/>
  <c r="F38" i="9"/>
  <c r="G38" i="9" s="1"/>
  <c r="F39" i="9"/>
  <c r="G39" i="9" s="1"/>
  <c r="F40" i="9"/>
  <c r="G40" i="9" s="1"/>
  <c r="F41" i="9"/>
  <c r="G41" i="9" s="1"/>
  <c r="F42" i="9"/>
  <c r="G42" i="9" s="1"/>
  <c r="F43" i="9"/>
  <c r="G43" i="9" s="1"/>
  <c r="F28" i="9"/>
  <c r="G28" i="9" s="1"/>
  <c r="E19" i="9"/>
  <c r="F19" i="9" s="1"/>
  <c r="E20" i="9"/>
  <c r="F20" i="9" s="1"/>
  <c r="E21" i="9"/>
  <c r="F21" i="9" s="1"/>
  <c r="E18" i="9"/>
  <c r="F18" i="9" s="1"/>
  <c r="E12" i="9"/>
  <c r="E10" i="9"/>
  <c r="E9" i="9"/>
  <c r="C4" i="9"/>
  <c r="G28" i="10"/>
  <c r="H28" i="10"/>
  <c r="I28" i="10"/>
  <c r="F28" i="10"/>
  <c r="F32" i="10" s="1"/>
  <c r="E11" i="9" l="1"/>
  <c r="G32" i="10"/>
  <c r="G34" i="10" s="1"/>
  <c r="G35" i="10" s="1"/>
  <c r="F34" i="10"/>
  <c r="B35" i="10" s="1"/>
  <c r="G59" i="9"/>
  <c r="G44" i="9"/>
  <c r="F22" i="9"/>
  <c r="F63" i="9" l="1"/>
  <c r="P27" i="7" l="1"/>
  <c r="P28" i="7"/>
  <c r="P29" i="7"/>
  <c r="P30" i="7"/>
  <c r="P31" i="7"/>
  <c r="P32" i="7"/>
  <c r="P33" i="7"/>
  <c r="P34" i="7"/>
  <c r="P35" i="7"/>
  <c r="P36" i="7"/>
  <c r="P26" i="7"/>
  <c r="P21" i="7"/>
  <c r="P22" i="7"/>
  <c r="P23" i="7"/>
  <c r="P24" i="7"/>
  <c r="R1" i="7"/>
  <c r="Q1" i="7"/>
  <c r="F13" i="9" l="1"/>
  <c r="F14" i="9" l="1"/>
  <c r="F23" i="9" s="1"/>
  <c r="R51" i="7"/>
  <c r="R50" i="7"/>
  <c r="R49" i="7"/>
  <c r="R48" i="7"/>
  <c r="R46" i="7"/>
  <c r="R45" i="7"/>
  <c r="R44" i="7"/>
  <c r="R43" i="7"/>
  <c r="R42" i="7"/>
  <c r="R41" i="7"/>
  <c r="Q40" i="7"/>
  <c r="R40" i="7" s="1"/>
  <c r="R36" i="7"/>
  <c r="R35" i="7"/>
  <c r="R34" i="7"/>
  <c r="R33" i="7"/>
  <c r="R32" i="7"/>
  <c r="R31" i="7"/>
  <c r="R30" i="7"/>
  <c r="R29" i="7"/>
  <c r="R28" i="7"/>
  <c r="R27" i="7"/>
  <c r="R26" i="7"/>
  <c r="R25" i="7"/>
  <c r="R24" i="7"/>
  <c r="R23" i="7"/>
  <c r="R22" i="7"/>
  <c r="R21" i="7"/>
  <c r="N17" i="7"/>
  <c r="P17" i="7" s="1"/>
  <c r="Q17" i="7"/>
  <c r="R17" i="7" s="1"/>
  <c r="N16" i="7"/>
  <c r="P16" i="7" s="1"/>
  <c r="Q16" i="7"/>
  <c r="R16" i="7" s="1"/>
  <c r="N15" i="7"/>
  <c r="P15" i="7" s="1"/>
  <c r="Q15" i="7"/>
  <c r="R15" i="7" s="1"/>
  <c r="N14" i="7"/>
  <c r="P14" i="7" s="1"/>
  <c r="Q14" i="7"/>
  <c r="R14" i="7" s="1"/>
  <c r="F24" i="9" l="1"/>
  <c r="F64" i="9" s="1"/>
  <c r="F65" i="9" s="1"/>
  <c r="P18" i="7"/>
  <c r="R37" i="7"/>
  <c r="R52" i="7"/>
  <c r="Q8" i="7"/>
  <c r="Q52" i="7"/>
  <c r="Q37" i="7"/>
  <c r="P9" i="7" l="1"/>
  <c r="P1" i="7" s="1"/>
  <c r="F4" i="7" s="1"/>
  <c r="R8" i="7"/>
  <c r="Q18" i="7"/>
  <c r="R54" i="7"/>
  <c r="Q54" i="7"/>
  <c r="P54" i="7" s="1"/>
  <c r="R18" i="7" l="1"/>
  <c r="R9" i="7" s="1"/>
  <c r="Q9" i="7"/>
  <c r="P2" i="7"/>
  <c r="F5" i="7" s="1"/>
  <c r="F7" i="7" s="1"/>
  <c r="R2" i="7"/>
  <c r="G7" i="7" l="1"/>
  <c r="G4" i="7"/>
  <c r="G5" i="7"/>
  <c r="R55" i="7"/>
  <c r="C5" i="7" s="1"/>
  <c r="Q2" i="7"/>
  <c r="P4" i="7"/>
  <c r="C4" i="7" s="1"/>
  <c r="Q55" i="7"/>
  <c r="P55" i="7" s="1"/>
  <c r="F8" i="7" l="1"/>
  <c r="G9" i="7" l="1"/>
  <c r="F66" i="9" s="1"/>
  <c r="G65" i="9" s="1"/>
  <c r="C18" i="7"/>
  <c r="C37" i="7"/>
  <c r="B37" i="7"/>
  <c r="B18" i="7"/>
  <c r="G8" i="7"/>
</calcChain>
</file>

<file path=xl/sharedStrings.xml><?xml version="1.0" encoding="utf-8"?>
<sst xmlns="http://schemas.openxmlformats.org/spreadsheetml/2006/main" count="226" uniqueCount="182">
  <si>
    <t>Drůbeží trus sušený</t>
  </si>
  <si>
    <t>Drůbeží trus s podestýlkou</t>
  </si>
  <si>
    <t>Drůbeží trus uleželý</t>
  </si>
  <si>
    <t>Kejda skotu</t>
  </si>
  <si>
    <t>Fugát kejdy skotu</t>
  </si>
  <si>
    <t>Kejda prasat</t>
  </si>
  <si>
    <t>Fugát kejdy prasat</t>
  </si>
  <si>
    <t>Digestát</t>
  </si>
  <si>
    <t>Fugát digestátu</t>
  </si>
  <si>
    <t>Výpalky melasové zahuštěné</t>
  </si>
  <si>
    <t>Výpalky lihovarnické</t>
  </si>
  <si>
    <t>Upravený kal (ve 100% sušině)</t>
  </si>
  <si>
    <t>Separát digestátu, tuhý digestát</t>
  </si>
  <si>
    <t xml:space="preserve">Hnůj, separát kejdy </t>
  </si>
  <si>
    <t>...při směrné dávce (t/ha)</t>
  </si>
  <si>
    <t>Výměra (ha)</t>
  </si>
  <si>
    <t>Zapravení nesklizeného posledního obrostu víceletých pícnin</t>
  </si>
  <si>
    <t>Meziplodiny (nad 8 týdnů) pěstované současně s hlavní plodinou</t>
  </si>
  <si>
    <t>Přímé setí do nezpracované půdy, meziplodin nebo rostlinných zbytků</t>
  </si>
  <si>
    <t>Kompost s poměrem C:N 10 a vyšším</t>
  </si>
  <si>
    <t>Meziplodiny – současně s hlavní plodinou</t>
  </si>
  <si>
    <t xml:space="preserve">Přímé setí </t>
  </si>
  <si>
    <t>Souhrn opatření – přepočtená plocha (%, ha)</t>
  </si>
  <si>
    <t>Celkem – hnojení</t>
  </si>
  <si>
    <t>Celkem – další opatření</t>
  </si>
  <si>
    <t>Korekce potřeby opatření podle plodin (%, ha)</t>
  </si>
  <si>
    <t xml:space="preserve">Strip-till </t>
  </si>
  <si>
    <t>Podíl plodin (%)</t>
  </si>
  <si>
    <t>Spotřeba (t)</t>
  </si>
  <si>
    <t>Základní potřeba, před korekcí na plodiny (%, ha):</t>
  </si>
  <si>
    <t>Výsledný rozsah potřebných opatření, po korekci na plodiny (%, ha):</t>
  </si>
  <si>
    <t>Koef. (na 1 ha)</t>
  </si>
  <si>
    <t>Obsah sušiny dle vyhl.</t>
  </si>
  <si>
    <t>Přepočt. plocha (ha)</t>
  </si>
  <si>
    <r>
      <t>Kukuřice, zelenina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</si>
  <si>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 xml:space="preserve">Potřeba provedení vhodných opatření </t>
  </si>
  <si>
    <t xml:space="preserve">Okopaniny, kukuřice a zelenina zvyšují rozsah potřebných opatření, naopak víceleté pícniny rozsah opatření snižují. </t>
  </si>
  <si>
    <t>Plocha i OL jsou přepočteny na efekt hnoje v dávce 30 t/ha</t>
  </si>
  <si>
    <t>Potřeba:</t>
  </si>
  <si>
    <t>Plnění:</t>
  </si>
  <si>
    <t>Podrobnosti k výpočtu:</t>
  </si>
  <si>
    <t>Obchodní  závod</t>
  </si>
  <si>
    <t>Hospodářský rok</t>
  </si>
  <si>
    <t>Tabulka č. 1 Základní údaje</t>
  </si>
  <si>
    <t xml:space="preserve">Obhospodařovaná plocha </t>
  </si>
  <si>
    <t xml:space="preserve">… z toho: lehká půda </t>
  </si>
  <si>
    <t xml:space="preserve">                 těžká půda </t>
  </si>
  <si>
    <t>Základní rozsah potřebných opatření (vážený průměr, %)</t>
  </si>
  <si>
    <t>Základní rozsah potřebných opatření (přepočet na hektary)</t>
  </si>
  <si>
    <t xml:space="preserve">Hlavní plodiny </t>
  </si>
  <si>
    <t>Přepočtená plocha (ha)</t>
  </si>
  <si>
    <t>Jetel nebo vojtěška, včetně semenářských porostů</t>
  </si>
  <si>
    <t>Vliv plodin na rozsah potřebných opatření, celkem</t>
  </si>
  <si>
    <t>Základní rozsah potřebných opatření podle půdního druhu (výsledná hodnota z tabulky č. 2)</t>
  </si>
  <si>
    <t>Výsledný rozsah potřebných opatření po upřesnění podle půdního druhu a plodin</t>
  </si>
  <si>
    <t>Tabulka č. 4 Dodání organické hmoty do půdy</t>
  </si>
  <si>
    <t xml:space="preserve">Použití hnojiv a upravených kalů </t>
  </si>
  <si>
    <t>Celková spotřeba (t)</t>
  </si>
  <si>
    <t>Celkem</t>
  </si>
  <si>
    <t xml:space="preserve">Směrná dávka (t/ha) </t>
  </si>
  <si>
    <t xml:space="preserve">Upravený kal (ve 100% sušině) </t>
  </si>
  <si>
    <t>Tabulka č. 5 Dodání organické hmoty do půdy a další opatření</t>
  </si>
  <si>
    <t>Použití statkových hnojiv rostlinného původu a půdoochranných technologií</t>
  </si>
  <si>
    <t xml:space="preserve">Přímé setí do nezpracované půdy, meziplodin nebo rostlinných zbytků  </t>
  </si>
  <si>
    <t>Položka</t>
  </si>
  <si>
    <t>Číslo čtverce</t>
  </si>
  <si>
    <t>Zkrácený kód DPB</t>
  </si>
  <si>
    <t>Datum operace</t>
  </si>
  <si>
    <t>Strip-till (ha)</t>
  </si>
  <si>
    <t>Přímé setí, do</t>
  </si>
  <si>
    <t>Cílová plodina</t>
  </si>
  <si>
    <t>nezpracované půdy (ha)</t>
  </si>
  <si>
    <t>rostlinných zbytků (ha)</t>
  </si>
  <si>
    <t>Rozdíl</t>
  </si>
  <si>
    <t>Položky</t>
  </si>
  <si>
    <t>Součet z jednotlivých DPB (tabulka č. 7)</t>
  </si>
  <si>
    <t xml:space="preserve">Přímé setí do nezpracované půdy, meziplodin nebo rostlinných zbytků (ha) </t>
  </si>
  <si>
    <t>Předplodina, 
včetně meziplodin</t>
  </si>
  <si>
    <t>Chrást, nesklizené hlavní plodiny</t>
  </si>
  <si>
    <t>Zapravení chrástu, případně nesklizených hlavních plodin</t>
  </si>
  <si>
    <t xml:space="preserve">Meziplodiny (nad 8 týdnů, bez odvozu zelené hmoty), po kterých následuje ozimá plodina </t>
  </si>
  <si>
    <t>Meziplodiny (nad 8 týdnů, bez odvozu zelené hmoty), po kterých následuje jarní plodina</t>
  </si>
  <si>
    <t>Plodiny na úhoru, bez odvozu zelené hmoty</t>
  </si>
  <si>
    <t>Meziplodiny (nad 8 týdnů) nebo plodiny na úhoru, s odvozem zelené hmoty</t>
  </si>
  <si>
    <t>Rozdíl:</t>
  </si>
  <si>
    <t xml:space="preserve"> … z toho: lehká půda</t>
  </si>
  <si>
    <t>Celková výměra (kultury R + G + U)</t>
  </si>
  <si>
    <t>Rozdíl (kladná hodnota je rezerva, záporná neplnění) (%, ha)</t>
  </si>
  <si>
    <t>Nesklizený obrost víceletých pícnin</t>
  </si>
  <si>
    <t>Tabulka č. 2 Výměra půdy a rozdělení podle půdního druhu</t>
  </si>
  <si>
    <t>Standardní orná půda (R), travní porost (G), úhor (U)</t>
  </si>
  <si>
    <t xml:space="preserve">                 střední půda </t>
  </si>
  <si>
    <t>Kukuřice, česnek, křen selský jednoletý, květák, mrkev, paprika, pastinák</t>
  </si>
  <si>
    <t xml:space="preserve">Ostatní víceleté pícniny na standardní orné půdě, trávy na semeno, travní porost </t>
  </si>
  <si>
    <t>Při dosažení záporné hodnoty nejsou potřeba žádná opatření</t>
  </si>
  <si>
    <t>Váhový koeficient 
(na 1 ha)</t>
  </si>
  <si>
    <t>… z toho zapravení slámy obilnin v kombinaci se souběžnou nebo následnou aplikací kejdy, 
    digestátu nebo výpalků</t>
  </si>
  <si>
    <t>Rozsah potřebných opatření (závěrečná hodnota z tabulky č. 3)</t>
  </si>
  <si>
    <t>o 5 %</t>
  </si>
  <si>
    <t>o 10 %</t>
  </si>
  <si>
    <t>neplnění</t>
  </si>
  <si>
    <t>≤ 15 %</t>
  </si>
  <si>
    <t>o 50 %</t>
  </si>
  <si>
    <t>&gt; 15 %, ≤ 25 %</t>
  </si>
  <si>
    <t>&gt; 25 %, ≤ 50 %</t>
  </si>
  <si>
    <t xml:space="preserve">&gt; 50 % </t>
  </si>
  <si>
    <t>Podíl z rozsahu potřebných opatření (%)</t>
  </si>
  <si>
    <t>Tabulka č. 3 Upřesnění rozsahu potřebných opatření podle výměry vybraných plodin</t>
  </si>
  <si>
    <t>Rozsah provedených opatření (součet celkových hodnot z tabulek č. 4 a 5)</t>
  </si>
  <si>
    <t>Meziplodiny – odvoz zelené hmoty</t>
  </si>
  <si>
    <t>Meziplodiny (nad 8 týdnů) s odvozem zelené hmoty</t>
  </si>
  <si>
    <r>
      <t>Brambory, cukrová řepa, řepa krmná, zelenina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</si>
  <si>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 xml:space="preserve">Brambory, </t>
    </r>
    <r>
      <rPr>
        <sz val="11"/>
        <color theme="1"/>
        <rFont val="Calibri"/>
        <family val="2"/>
        <charset val="238"/>
        <scheme val="minor"/>
      </rPr>
      <t xml:space="preserve">cukrová řepa, řepa krmná, brokolice, celer, cuketa, meloun, okurka, pór, rajče, tykev, zelí </t>
    </r>
  </si>
  <si>
    <r>
      <t xml:space="preserve">                  </t>
    </r>
    <r>
      <rPr>
        <i/>
        <sz val="11"/>
        <color theme="1"/>
        <rFont val="Calibri"/>
        <family val="2"/>
        <charset val="238"/>
        <scheme val="minor"/>
      </rPr>
      <t>střední půda (dopočet)</t>
    </r>
  </si>
  <si>
    <t xml:space="preserve">                  těžká půda</t>
  </si>
  <si>
    <t>Snížení základní celofaremní ekoplatby při nezpracování výpočtu</t>
  </si>
  <si>
    <t>Výměra 
(ha)</t>
  </si>
  <si>
    <t>… z toho zapravení slámy obilnin v kombinaci se souběžnou nebo následnou aplikací 
    kejdy, digestátu nebo výpalků</t>
  </si>
  <si>
    <t>Potřeba dodání organických látek (OL), v průměru na výměru RGU (t OL/ha)</t>
  </si>
  <si>
    <t>Potřeba (t OL/ha RGU)</t>
  </si>
  <si>
    <t>Plnění (t OL/ha RGU)</t>
  </si>
  <si>
    <t>Plnění celkem (t OL/ha RGU)</t>
  </si>
  <si>
    <t>Rozdíl = Plnění - Potřeba (t OL/ha RGU)</t>
  </si>
  <si>
    <t>Snížení základní celofaremní ekoplatby při neplnění podmínky 
(ve vztahu k rozsahu potřebných opatření)</t>
  </si>
  <si>
    <t>ekoplatba se neposkytne</t>
  </si>
  <si>
    <t>předložení výpočtu do 30 dnů po kontrole – snížení o 3 %</t>
  </si>
  <si>
    <t xml:space="preserve">Meziplodiny na zelené hnojení – následuje ozimá plodina </t>
  </si>
  <si>
    <t>Přenos z listu "výpočet" (řádky č. 50 a 51)</t>
  </si>
  <si>
    <t>Plodiny na úhoru a v ochranných pásech* (neprodukční plochy), bez odvozu zelené hmoty</t>
  </si>
  <si>
    <t>Plodiny na úhoru a v ochranných pásech* (neprodukční plochy), s odvozem zelené hmoty</t>
  </si>
  <si>
    <t xml:space="preserve">Kontrola souladu údajů vyplněných žadatelem do tabulky č. 7 a do 1. listu "výpočet" </t>
  </si>
  <si>
    <t>Přepočtená plocha 
(ha)</t>
  </si>
  <si>
    <t>Kompost s poměrem C:N nižším než 10</t>
  </si>
  <si>
    <t>Tabulka č. 6 Vyhodnocení hospodaření s organickou hmotou na standardní orné půdě</t>
  </si>
  <si>
    <t>Výměra DPB 
(ha)</t>
  </si>
  <si>
    <t>Strip-till 
(ha)</t>
  </si>
  <si>
    <r>
      <t xml:space="preserve">Rozdíl </t>
    </r>
    <r>
      <rPr>
        <sz val="11"/>
        <color theme="1"/>
        <rFont val="Calibri"/>
        <family val="2"/>
        <charset val="238"/>
        <scheme val="minor"/>
      </rPr>
      <t>(od rozsahu provedených opatření se odečte rozsah potřebných opatření a případná záporná hodnota se převede 
na % z rozsahu potřebných opatření)</t>
    </r>
  </si>
  <si>
    <t>(automatický přenos údajů z vkládacího formuláře v 1. listu "výpočet")</t>
  </si>
  <si>
    <t>Rozsah potřebných opatření 
(%, ha) </t>
  </si>
  <si>
    <t>Informace o zařazení DPB podle převažujícího půdního druhu (Registr půdy – LPIS): 
Tisky – Informativní výpisy – Základní (tab. Součet výměr účinných dle kultur a režimů EZ)</t>
  </si>
  <si>
    <t>… z toho kombinace: sláma obilnin + kejda, digestát, výpalky</t>
  </si>
  <si>
    <r>
      <t xml:space="preserve">Tabulka č. 7 Seznam dílů půdních bloků, na kterých byly použity půdoochranné technologie </t>
    </r>
    <r>
      <rPr>
        <i/>
        <sz val="11"/>
        <color theme="1"/>
        <rFont val="Calibri"/>
        <family val="2"/>
        <charset val="238"/>
        <scheme val="minor"/>
      </rPr>
      <t>(v případě potřeby lze uprostřed přidat řádky = vložit buňky)</t>
    </r>
  </si>
  <si>
    <t>Vysvětlivka:</t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</si>
  <si>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 xml:space="preserve"> brokolice, celer, cuketa, meloun, okurka, pór, rajče, tykev, zelí  </t>
    </r>
  </si>
  <si>
    <r>
      <t xml:space="preserve">Brambory, </t>
    </r>
    <r>
      <rPr>
        <sz val="11"/>
        <color theme="1"/>
        <rFont val="Calibri"/>
        <family val="2"/>
        <charset val="238"/>
        <scheme val="minor"/>
      </rPr>
      <t>cukrová řepa, řepa krmná, zelenina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</si>
  <si>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11"/>
        <color theme="1"/>
        <rFont val="Calibri"/>
        <family val="2"/>
        <charset val="238"/>
        <scheme val="minor"/>
      </rPr>
      <t xml:space="preserve"> česnek, křen selský jednoletý, květák, mrkev, paprika, pastinák</t>
    </r>
  </si>
  <si>
    <r>
      <t>Jetel</t>
    </r>
    <r>
      <rPr>
        <vertAlign val="superscript"/>
        <sz val="11"/>
        <color theme="1"/>
        <rFont val="Calibri"/>
        <family val="2"/>
        <charset val="238"/>
        <scheme val="minor"/>
      </rPr>
      <t>3)</t>
    </r>
    <r>
      <rPr>
        <sz val="11"/>
        <color theme="1"/>
        <rFont val="Calibri"/>
        <family val="2"/>
        <charset val="238"/>
        <scheme val="minor"/>
      </rPr>
      <t xml:space="preserve"> nebo vojtěška</t>
    </r>
    <r>
      <rPr>
        <vertAlign val="superscript"/>
        <sz val="11"/>
        <color theme="1"/>
        <rFont val="Calibri"/>
        <family val="2"/>
        <charset val="238"/>
        <scheme val="minor"/>
      </rPr>
      <t>3)</t>
    </r>
    <r>
      <rPr>
        <sz val="11"/>
        <color theme="1"/>
        <rFont val="Calibri"/>
        <family val="2"/>
        <charset val="238"/>
        <scheme val="minor"/>
      </rPr>
      <t>, včetně semenářských porostů</t>
    </r>
  </si>
  <si>
    <r>
      <rPr>
        <vertAlign val="superscript"/>
        <sz val="11"/>
        <color theme="1"/>
        <rFont val="Calibri"/>
        <family val="2"/>
        <charset val="238"/>
        <scheme val="minor"/>
      </rPr>
      <t>3)</t>
    </r>
    <r>
      <rPr>
        <sz val="11"/>
        <color theme="1"/>
        <rFont val="Calibri"/>
        <family val="2"/>
        <charset val="238"/>
        <scheme val="minor"/>
      </rPr>
      <t xml:space="preserve"> pouze čisté porosty</t>
    </r>
  </si>
  <si>
    <r>
      <t>Ostatní víceleté pícniny (R)</t>
    </r>
    <r>
      <rPr>
        <vertAlign val="superscript"/>
        <sz val="11"/>
        <color theme="1"/>
        <rFont val="Calibri"/>
        <family val="2"/>
        <charset val="238"/>
        <scheme val="minor"/>
      </rPr>
      <t>4)</t>
    </r>
    <r>
      <rPr>
        <sz val="11"/>
        <color theme="1"/>
        <rFont val="Calibri"/>
        <family val="2"/>
        <charset val="238"/>
        <scheme val="minor"/>
      </rPr>
      <t>, trávy na semeno, travní porost (G)</t>
    </r>
  </si>
  <si>
    <r>
      <rPr>
        <vertAlign val="superscript"/>
        <sz val="11"/>
        <color theme="1"/>
        <rFont val="Calibri"/>
        <family val="2"/>
        <charset val="238"/>
        <scheme val="minor"/>
      </rPr>
      <t>4)</t>
    </r>
    <r>
      <rPr>
        <sz val="11"/>
        <color theme="1"/>
        <rFont val="Calibri"/>
        <family val="2"/>
        <charset val="238"/>
        <scheme val="minor"/>
      </rPr>
      <t xml:space="preserve"> včetně směsí (např. jetelotráva) </t>
    </r>
  </si>
  <si>
    <r>
      <t xml:space="preserve">nepředložení výpočtu do 30 dnů po kontrole – </t>
    </r>
    <r>
      <rPr>
        <sz val="11"/>
        <color theme="1"/>
        <rFont val="Calibri"/>
        <family val="2"/>
        <charset val="238"/>
        <scheme val="minor"/>
      </rPr>
      <t>bez ekoplatby</t>
    </r>
  </si>
  <si>
    <r>
      <t xml:space="preserve">Kompost s poměrem C:N </t>
    </r>
    <r>
      <rPr>
        <sz val="11"/>
        <color theme="1"/>
        <rFont val="Calibri"/>
        <family val="2"/>
        <charset val="238"/>
        <scheme val="minor"/>
      </rPr>
      <t>nižším než 10</t>
    </r>
  </si>
  <si>
    <t>meziplodin 
(ha)</t>
  </si>
  <si>
    <r>
      <rPr>
        <b/>
        <sz val="11"/>
        <color theme="1"/>
        <rFont val="Calibri"/>
        <family val="2"/>
        <charset val="238"/>
        <scheme val="minor"/>
      </rPr>
      <t>Kontakty (CARC):</t>
    </r>
    <r>
      <rPr>
        <sz val="11"/>
        <color theme="1"/>
        <rFont val="Calibri"/>
        <family val="2"/>
        <charset val="238"/>
        <scheme val="minor"/>
      </rPr>
      <t xml:space="preserve"> www.carc.cz, Ing. Jan Klír, CSc. (tel. 603 520 684, e-mail: jan.klir@carc.cz), Ing. Lada Kozlovská (tel. 733 375 632, e-mail: lada.kozlovska@carc.cz)</t>
    </r>
  </si>
  <si>
    <t>Obchodní závod</t>
  </si>
  <si>
    <t>Bilance organické hmoty</t>
  </si>
  <si>
    <t>ID LPIS</t>
  </si>
  <si>
    <t xml:space="preserve">Při výpočtu se vychází z celkové spotřeby hnojiv nebo upravených kalů na výměře kultur R, G, případně U v hospodářském roce hnojení. 
Pokud se použije např. kejda skotu v kombinaci se slámou obilnin, tak se tato opatření promítnou ve více řádcích: 
     1) řádek 26: kejda skotu (započteno v celk. množství kejdy aplikované na různé DPB)
     2) řádek 40: sláma (veškerá ponechaná sláma, bez ohledu na hnojení kejdou apod.)
     3) řádek 41: jen kombinace slámy obilnin s kejdou, v tomto případě s kejdou skotu
Platí tedy pravidlo, že při překryvu více jednotlivých opatření (vč. meziplodin a technologií) na stejné ploše se tyto plochy započtou vícekrát.  </t>
  </si>
  <si>
    <r>
      <t xml:space="preserve">Podmínka pro základní celofaremní ekoplatbu </t>
    </r>
    <r>
      <rPr>
        <i/>
        <sz val="12"/>
        <color theme="1"/>
        <rFont val="Calibri"/>
        <family val="2"/>
        <charset val="238"/>
        <scheme val="minor"/>
      </rPr>
      <t>(celá platba)</t>
    </r>
  </si>
  <si>
    <t>IČO</t>
  </si>
  <si>
    <t>snížení ekoplatby na výměře R</t>
  </si>
  <si>
    <r>
      <t xml:space="preserve">Sláma obilnin (vč. kukuřice na zrno a CCM </t>
    </r>
    <r>
      <rPr>
        <b/>
        <sz val="11"/>
        <color theme="1"/>
        <rFont val="Calibri"/>
        <family val="2"/>
        <charset val="238"/>
      </rPr>
      <t>nebo strniště po silážní kukuřici vyšší než 40 cm</t>
    </r>
    <r>
      <rPr>
        <sz val="11"/>
        <color theme="1"/>
        <rFont val="Calibri"/>
        <family val="2"/>
        <charset val="238"/>
      </rPr>
      <t>), olejnin, luskovin a dalších plodin pěstovaných na zrno či semeno (veškerá sláma, bez ohledu na přidání dusíku) atd.</t>
    </r>
  </si>
  <si>
    <r>
      <t xml:space="preserve">zapravení do půdy, případně ponechání na povrchu slámy obilnin (včetně kukuřice sklizené děleným způsobem), olejnin, luskovin (pěstovaných i jako zelenina) a ostatních plodin pěstovaných na zrno či semeno nebo rostlinných zbytků po sklizni jetelovin a trav na semeno; </t>
    </r>
    <r>
      <rPr>
        <b/>
        <sz val="11"/>
        <color theme="1"/>
        <rFont val="Calibri"/>
        <family val="2"/>
        <charset val="238"/>
        <scheme val="minor"/>
      </rPr>
      <t xml:space="preserve">strniště po sklizni kukuřice na siláž o výšce nejméně 40 cm se považuje za slámu obilnin </t>
    </r>
    <r>
      <rPr>
        <b/>
        <i/>
        <sz val="11"/>
        <color theme="1"/>
        <rFont val="Calibri"/>
        <family val="2"/>
        <charset val="238"/>
        <scheme val="minor"/>
      </rPr>
      <t>(od sklizně kukuřice v roce 2025)</t>
    </r>
  </si>
  <si>
    <r>
      <t>Meziplodiny na zel. hnojení – následuje jar. plodina</t>
    </r>
    <r>
      <rPr>
        <b/>
        <sz val="11"/>
        <color theme="1"/>
        <rFont val="Calibri"/>
        <family val="2"/>
        <charset val="238"/>
        <scheme val="minor"/>
      </rPr>
      <t>* (mimo AEKO)</t>
    </r>
  </si>
  <si>
    <r>
      <t>Poznámky: 
* Nelze započítat meziplodiny, na které je požadována dotace dle § 17 nař. vlády č. 80/2023 Sb., o stanovení podmínek provádění agroenvironmentálně-klimatických opatření</t>
    </r>
    <r>
      <rPr>
        <sz val="11"/>
        <color theme="1"/>
        <rFont val="Calibri"/>
        <family val="2"/>
        <charset val="238"/>
        <scheme val="minor"/>
      </rPr>
      <t xml:space="preserve">
** K plochám úhorů lze připočítat výměry ochranných pásů deklarovaných v jednotné žádosti 2026 jako neprodukční plochy. Jsou to ochranné pásy podle přílohy č. 12 k nařízení vlády č. 83/2023 Sb.: ochranný pás kolem evidovaného krajinného prvku, ozeleněný kolejový řádek, ochranný pás typu souvrať, ochranný pás podél vody typu základní a prémiový, ochranný pás v rámci půdoochranných technologií, ochranný dělící pás, ochranný pás založený v rámci agrolesnictví, biopás.</t>
    </r>
  </si>
  <si>
    <t>Zapravení do půdy, případně ponechání na povrchu slámy obilnin (včetně kukuřice sklizené děleným způsobem a silážní kukuřice se strništěm nad 40 cm), olejnin, luskovin (pěstovaných i jako zelenina) a ostatních plodin pěstovaných na zrno či semeno nebo rostlinných zbytků po sklizni jetelovin a trav na semeno</t>
  </si>
  <si>
    <t>Meziplodiny (nad 8 týdnů, bez odvozu zelené hmoty), po kterých následuje jarní plodina*</t>
  </si>
  <si>
    <t>* Mimo meziplodin, na které je požadována dotace dle § 17 nař. vlády č. 80/2023 Sb. (AEKO)</t>
  </si>
  <si>
    <r>
      <rPr>
        <b/>
        <sz val="11"/>
        <color theme="9" tint="-0.499984740745262"/>
        <rFont val="Calibri"/>
        <family val="2"/>
        <charset val="238"/>
        <scheme val="minor"/>
      </rPr>
      <t>Verze 5</t>
    </r>
    <r>
      <rPr>
        <sz val="11"/>
        <color theme="9" tint="-0.499984740745262"/>
        <rFont val="Calibri"/>
        <family val="2"/>
        <charset val="238"/>
        <scheme val="minor"/>
      </rPr>
      <t xml:space="preserve"> (13. 8. 2026, výpočet podle nařízení vlády č. 83/2023 Sb., o stanovení podmínek poskytování přímých plateb zemědělcům)</t>
    </r>
  </si>
  <si>
    <r>
      <rPr>
        <b/>
        <sz val="16"/>
        <color theme="1"/>
        <rFont val="Calibri"/>
        <family val="2"/>
        <charset val="238"/>
      </rPr>
      <t>Ekoplatba 2027</t>
    </r>
    <r>
      <rPr>
        <b/>
        <sz val="14"/>
        <color theme="1"/>
        <rFont val="Calibri"/>
        <family val="2"/>
        <charset val="238"/>
      </rPr>
      <t xml:space="preserve"> (kultura R) – hospodaření s organickou hmotou v hospodářském roce </t>
    </r>
    <r>
      <rPr>
        <b/>
        <sz val="16"/>
        <color theme="1"/>
        <rFont val="Calibri"/>
        <family val="2"/>
        <charset val="238"/>
      </rPr>
      <t>2026/2027</t>
    </r>
    <r>
      <rPr>
        <b/>
        <sz val="14"/>
        <color theme="1"/>
        <rFont val="Calibri"/>
        <family val="2"/>
        <charset val="238"/>
      </rPr>
      <t xml:space="preserve"> </t>
    </r>
    <r>
      <rPr>
        <sz val="14"/>
        <color theme="1"/>
        <rFont val="Calibri"/>
        <family val="2"/>
        <charset val="238"/>
      </rPr>
      <t>(od 1. 7. 2026 do 30. 6. 2027)</t>
    </r>
  </si>
  <si>
    <r>
      <t xml:space="preserve">Obhospodařovaná plocha </t>
    </r>
    <r>
      <rPr>
        <sz val="11"/>
        <color theme="9" tint="-0.499984740745262"/>
        <rFont val="Calibri"/>
        <family val="2"/>
        <charset val="238"/>
        <scheme val="minor"/>
      </rPr>
      <t>(Jednotná žádost /JŽ/, květen 2027)</t>
    </r>
  </si>
  <si>
    <t>Podle údajů pro žádost o dotace na rok 2027</t>
  </si>
  <si>
    <r>
      <t xml:space="preserve">Vybrané plodiny </t>
    </r>
    <r>
      <rPr>
        <sz val="11"/>
        <color theme="9" tint="-0.499984740745262"/>
        <rFont val="Calibri"/>
        <family val="2"/>
        <charset val="238"/>
        <scheme val="minor"/>
      </rPr>
      <t>(JŽ, květen 2027)</t>
    </r>
  </si>
  <si>
    <r>
      <t>Upřesnění potřeby opatření podle výměry vybraných plodin</t>
    </r>
    <r>
      <rPr>
        <sz val="11"/>
        <color theme="9" tint="-0.499984740745262"/>
        <rFont val="Calibri"/>
        <family val="2"/>
        <charset val="238"/>
        <scheme val="minor"/>
      </rPr>
      <t xml:space="preserve"> (JŽ 2027) </t>
    </r>
  </si>
  <si>
    <r>
      <t>Dodání organické hmoty do půdy</t>
    </r>
    <r>
      <rPr>
        <sz val="11"/>
        <color theme="9" tint="-0.499984740745262"/>
        <rFont val="Calibri"/>
        <family val="2"/>
        <charset val="238"/>
        <scheme val="minor"/>
      </rPr>
      <t xml:space="preserve"> (2026/2027)</t>
    </r>
  </si>
  <si>
    <t>Celková spotřeba v období od 1. 7. 2026 do 30. 6. 2027, na výměře RGU pro JŽ 2027</t>
  </si>
  <si>
    <r>
      <t xml:space="preserve">Dodání organické hmoty a další opatření </t>
    </r>
    <r>
      <rPr>
        <sz val="11"/>
        <color theme="9" tint="-0.499984740745262"/>
        <rFont val="Calibri"/>
        <family val="2"/>
        <charset val="238"/>
        <scheme val="minor"/>
      </rPr>
      <t>(2026/2027)</t>
    </r>
  </si>
  <si>
    <t>Opatření provedená v období od 1. 7. 2026 do 30. 6. 2027, na výměře RGU pro JŽ 2027</t>
  </si>
  <si>
    <r>
      <t xml:space="preserve">Úhory a ochr. pásy* </t>
    </r>
    <r>
      <rPr>
        <b/>
        <sz val="11"/>
        <color theme="9" tint="-0.499984740745262"/>
        <rFont val="Calibri"/>
        <family val="2"/>
        <charset val="238"/>
        <scheme val="minor"/>
      </rPr>
      <t>(JŽ, květen 2027)</t>
    </r>
    <r>
      <rPr>
        <sz val="11"/>
        <color theme="1"/>
        <rFont val="Calibri"/>
        <family val="2"/>
        <charset val="238"/>
        <scheme val="minor"/>
      </rPr>
      <t xml:space="preserve"> – bez odvozu zelené hmoty</t>
    </r>
  </si>
  <si>
    <r>
      <t xml:space="preserve">Úhory a ochr. pásy* </t>
    </r>
    <r>
      <rPr>
        <b/>
        <sz val="11"/>
        <color theme="9" tint="-0.499984740745262"/>
        <rFont val="Calibri"/>
        <family val="2"/>
        <charset val="238"/>
        <scheme val="minor"/>
      </rPr>
      <t>(JŽ, květen 2027)</t>
    </r>
    <r>
      <rPr>
        <sz val="11"/>
        <color theme="1"/>
        <rFont val="Calibri"/>
        <family val="2"/>
        <charset val="238"/>
        <scheme val="minor"/>
      </rPr>
      <t xml:space="preserve"> – odvoz zelené hmoty</t>
    </r>
  </si>
  <si>
    <t xml:space="preserve">Ekoplatba 2027 – výpočet pro vyhodnocení hospodaření s organickou hmotou na standardní orné půdě 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</si>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</sst>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00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9" tint="-0.499984740745262"/>
      <name val="Calibri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sz val="11"/>
      <color theme="1"/>
      <name val="Aptos Narrow"/>
      <family val="2"/>
    </font>
    <font>
      <b/>
      <i/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DDDDD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0000"/>
      </top>
      <bottom/>
      <diagonal/>
    </border>
  </borders>
  <cellStyleXfs count="1">
    <xf numFmtId="0" fontId="0" fillId="0" borderId="0"/>
  </cellStyleXfs>
  <cellXfs count="282">
    <xf numFmtId="0" fontId="0" fillId="0" borderId="0" xfId="0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 vertical="top" wrapText="1"/>
    </xf>
    <xf numFmtId="9" fontId="1" fillId="0" borderId="0" xfId="0" applyNumberFormat="1" applyFont="1"/>
    <xf numFmtId="2" fontId="1" fillId="0" borderId="0" xfId="0" applyNumberFormat="1" applyFont="1"/>
    <xf numFmtId="165" fontId="0" fillId="2" borderId="1" xfId="0" applyNumberFormat="1" applyFill="1" applyBorder="1" applyAlignment="1">
      <alignment horizontal="right" vertical="center" indent="3"/>
    </xf>
    <xf numFmtId="0" fontId="0" fillId="2" borderId="1" xfId="0" applyFill="1" applyBorder="1" applyAlignment="1">
      <alignment vertical="center" wrapText="1"/>
    </xf>
    <xf numFmtId="0" fontId="1" fillId="0" borderId="0" xfId="0" applyFont="1" applyAlignment="1">
      <alignment wrapText="1"/>
    </xf>
    <xf numFmtId="2" fontId="0" fillId="2" borderId="1" xfId="0" applyNumberFormat="1" applyFill="1" applyBorder="1" applyAlignment="1">
      <alignment horizontal="right" vertical="center" indent="3"/>
    </xf>
    <xf numFmtId="165" fontId="0" fillId="2" borderId="1" xfId="0" applyNumberFormat="1" applyFill="1" applyBorder="1" applyAlignment="1">
      <alignment horizontal="right" vertical="center" indent="4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1" fontId="0" fillId="2" borderId="1" xfId="0" applyNumberFormat="1" applyFill="1" applyBorder="1" applyAlignment="1">
      <alignment horizontal="right" vertical="center" indent="5"/>
    </xf>
    <xf numFmtId="165" fontId="0" fillId="2" borderId="1" xfId="0" applyNumberFormat="1" applyFill="1" applyBorder="1" applyAlignment="1">
      <alignment horizontal="right" vertical="center" indent="2"/>
    </xf>
    <xf numFmtId="0" fontId="1" fillId="2" borderId="1" xfId="0" applyFont="1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1" fontId="0" fillId="2" borderId="1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3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3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 vertical="center" indent="3"/>
    </xf>
    <xf numFmtId="0" fontId="3" fillId="2" borderId="1" xfId="0" applyFont="1" applyFill="1" applyBorder="1" applyAlignment="1">
      <alignment horizontal="right" vertical="center" indent="4"/>
    </xf>
    <xf numFmtId="164" fontId="3" fillId="2" borderId="1" xfId="0" applyNumberFormat="1" applyFont="1" applyFill="1" applyBorder="1" applyAlignment="1">
      <alignment horizontal="right" vertical="center" indent="4"/>
    </xf>
    <xf numFmtId="2" fontId="0" fillId="2" borderId="1" xfId="0" applyNumberFormat="1" applyFill="1" applyBorder="1" applyAlignment="1">
      <alignment horizontal="right" vertical="center" indent="7"/>
    </xf>
    <xf numFmtId="3" fontId="4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horizontal="right" vertical="center" indent="3"/>
    </xf>
    <xf numFmtId="3" fontId="0" fillId="0" borderId="0" xfId="0" applyNumberFormat="1"/>
    <xf numFmtId="0" fontId="6" fillId="0" borderId="0" xfId="0" applyFont="1"/>
    <xf numFmtId="49" fontId="5" fillId="0" borderId="0" xfId="0" applyNumberFormat="1" applyFont="1" applyAlignment="1">
      <alignment horizontal="left" indent="1"/>
    </xf>
    <xf numFmtId="49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vertical="center" wrapText="1"/>
    </xf>
    <xf numFmtId="0" fontId="0" fillId="7" borderId="0" xfId="0" applyFill="1" applyAlignment="1">
      <alignment vertical="center"/>
    </xf>
    <xf numFmtId="165" fontId="2" fillId="7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vertical="top" wrapText="1"/>
    </xf>
    <xf numFmtId="0" fontId="0" fillId="0" borderId="7" xfId="0" applyBorder="1" applyAlignment="1">
      <alignment vertical="center"/>
    </xf>
    <xf numFmtId="0" fontId="8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center" vertical="center" wrapText="1"/>
    </xf>
    <xf numFmtId="3" fontId="0" fillId="7" borderId="0" xfId="0" applyNumberFormat="1" applyFill="1"/>
    <xf numFmtId="4" fontId="1" fillId="7" borderId="0" xfId="0" applyNumberFormat="1" applyFont="1" applyFill="1" applyAlignment="1">
      <alignment horizontal="right" vertical="center" indent="2"/>
    </xf>
    <xf numFmtId="3" fontId="0" fillId="7" borderId="0" xfId="0" applyNumberFormat="1" applyFill="1" applyAlignment="1">
      <alignment vertical="center"/>
    </xf>
    <xf numFmtId="3" fontId="4" fillId="7" borderId="0" xfId="0" applyNumberFormat="1" applyFont="1" applyFill="1" applyAlignment="1">
      <alignment vertical="center"/>
    </xf>
    <xf numFmtId="3" fontId="0" fillId="0" borderId="0" xfId="0" applyNumberFormat="1" applyAlignment="1">
      <alignment horizontal="left" indent="1"/>
    </xf>
    <xf numFmtId="4" fontId="0" fillId="0" borderId="0" xfId="0" applyNumberFormat="1" applyAlignment="1">
      <alignment horizontal="left" indent="1"/>
    </xf>
    <xf numFmtId="0" fontId="0" fillId="0" borderId="0" xfId="0" applyAlignment="1">
      <alignment horizontal="left" vertical="center" indent="1"/>
    </xf>
    <xf numFmtId="49" fontId="0" fillId="0" borderId="0" xfId="0" applyNumberFormat="1" applyAlignment="1">
      <alignment horizontal="left" indent="1"/>
    </xf>
    <xf numFmtId="0" fontId="1" fillId="7" borderId="0" xfId="0" applyFont="1" applyFill="1" applyAlignment="1">
      <alignment vertical="center"/>
    </xf>
    <xf numFmtId="0" fontId="0" fillId="7" borderId="0" xfId="0" applyFill="1"/>
    <xf numFmtId="4" fontId="0" fillId="7" borderId="0" xfId="0" applyNumberFormat="1" applyFill="1" applyAlignment="1">
      <alignment horizontal="right" vertical="center" indent="2"/>
    </xf>
    <xf numFmtId="0" fontId="1" fillId="7" borderId="0" xfId="0" applyFont="1" applyFill="1" applyAlignment="1">
      <alignment horizontal="right" vertical="center"/>
    </xf>
    <xf numFmtId="165" fontId="0" fillId="7" borderId="0" xfId="0" applyNumberFormat="1" applyFill="1" applyAlignment="1">
      <alignment horizontal="right" vertical="center" indent="3"/>
    </xf>
    <xf numFmtId="3" fontId="0" fillId="7" borderId="0" xfId="0" applyNumberFormat="1" applyFill="1" applyAlignment="1">
      <alignment horizontal="right" vertical="center" indent="4"/>
    </xf>
    <xf numFmtId="165" fontId="11" fillId="2" borderId="1" xfId="0" applyNumberFormat="1" applyFont="1" applyFill="1" applyBorder="1" applyAlignment="1">
      <alignment horizontal="right" vertical="center" indent="3"/>
    </xf>
    <xf numFmtId="165" fontId="0" fillId="2" borderId="8" xfId="0" applyNumberFormat="1" applyFill="1" applyBorder="1" applyAlignment="1">
      <alignment horizontal="right" vertical="center" indent="3"/>
    </xf>
    <xf numFmtId="0" fontId="4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indent="4"/>
    </xf>
    <xf numFmtId="3" fontId="3" fillId="7" borderId="0" xfId="0" applyNumberFormat="1" applyFont="1" applyFill="1" applyAlignment="1">
      <alignment horizontal="right" vertical="center" indent="4"/>
    </xf>
    <xf numFmtId="0" fontId="3" fillId="0" borderId="0" xfId="0" applyFont="1"/>
    <xf numFmtId="4" fontId="4" fillId="2" borderId="1" xfId="0" applyNumberFormat="1" applyFont="1" applyFill="1" applyBorder="1" applyAlignment="1">
      <alignment horizontal="right" vertical="center" indent="4"/>
    </xf>
    <xf numFmtId="3" fontId="3" fillId="0" borderId="0" xfId="0" applyNumberFormat="1" applyFont="1" applyAlignment="1">
      <alignment horizontal="right" vertical="center" indent="3"/>
    </xf>
    <xf numFmtId="3" fontId="4" fillId="0" borderId="0" xfId="0" applyNumberFormat="1" applyFont="1" applyAlignment="1">
      <alignment horizontal="right" vertical="center" indent="4"/>
    </xf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right" vertical="center" indent="3"/>
    </xf>
    <xf numFmtId="165" fontId="0" fillId="7" borderId="0" xfId="0" applyNumberFormat="1" applyFill="1" applyAlignment="1">
      <alignment horizontal="right" vertical="center" indent="2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right" vertical="center"/>
    </xf>
    <xf numFmtId="0" fontId="2" fillId="7" borderId="0" xfId="0" applyFont="1" applyFill="1" applyAlignment="1">
      <alignment horizontal="right"/>
    </xf>
    <xf numFmtId="0" fontId="2" fillId="7" borderId="0" xfId="0" applyFont="1" applyFill="1" applyAlignment="1">
      <alignment horizontal="center"/>
    </xf>
    <xf numFmtId="4" fontId="1" fillId="7" borderId="0" xfId="0" applyNumberFormat="1" applyFont="1" applyFill="1" applyAlignment="1">
      <alignment horizontal="right" vertical="center" indent="4"/>
    </xf>
    <xf numFmtId="4" fontId="0" fillId="7" borderId="0" xfId="0" applyNumberFormat="1" applyFill="1" applyAlignment="1">
      <alignment horizontal="right" vertical="center" indent="4"/>
    </xf>
    <xf numFmtId="4" fontId="0" fillId="0" borderId="0" xfId="0" applyNumberFormat="1" applyAlignment="1">
      <alignment horizontal="right" vertical="center" indent="3"/>
    </xf>
    <xf numFmtId="4" fontId="0" fillId="7" borderId="0" xfId="0" applyNumberFormat="1" applyFill="1" applyAlignment="1">
      <alignment horizontal="center" vertical="center" wrapText="1"/>
    </xf>
    <xf numFmtId="4" fontId="1" fillId="7" borderId="0" xfId="0" applyNumberFormat="1" applyFont="1" applyFill="1" applyAlignment="1">
      <alignment horizontal="center" vertical="center"/>
    </xf>
    <xf numFmtId="4" fontId="3" fillId="0" borderId="0" xfId="0" applyNumberFormat="1" applyFont="1" applyAlignment="1">
      <alignment horizontal="right" vertical="center" indent="5"/>
    </xf>
    <xf numFmtId="0" fontId="9" fillId="7" borderId="0" xfId="0" applyFont="1" applyFill="1" applyAlignment="1">
      <alignment horizontal="left" vertical="center"/>
    </xf>
    <xf numFmtId="49" fontId="0" fillId="0" borderId="1" xfId="0" applyNumberFormat="1" applyBorder="1" applyAlignment="1">
      <alignment horizontal="left" vertical="center" indent="1"/>
    </xf>
    <xf numFmtId="0" fontId="1" fillId="0" borderId="0" xfId="0" applyFont="1" applyAlignment="1">
      <alignment vertical="center"/>
    </xf>
    <xf numFmtId="49" fontId="0" fillId="0" borderId="0" xfId="0" applyNumberFormat="1"/>
    <xf numFmtId="0" fontId="4" fillId="0" borderId="0" xfId="0" applyFont="1" applyAlignment="1">
      <alignment horizontal="left" vertical="center"/>
    </xf>
    <xf numFmtId="0" fontId="13" fillId="7" borderId="0" xfId="0" applyFont="1" applyFill="1" applyAlignment="1">
      <alignment horizontal="center" vertical="center" wrapText="1"/>
    </xf>
    <xf numFmtId="165" fontId="13" fillId="7" borderId="0" xfId="0" applyNumberFormat="1" applyFont="1" applyFill="1" applyAlignment="1">
      <alignment horizontal="center" vertical="center"/>
    </xf>
    <xf numFmtId="165" fontId="7" fillId="9" borderId="2" xfId="0" applyNumberFormat="1" applyFont="1" applyFill="1" applyBorder="1" applyAlignment="1">
      <alignment horizontal="right" vertical="center" indent="3"/>
    </xf>
    <xf numFmtId="0" fontId="1" fillId="4" borderId="1" xfId="0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" fillId="4" borderId="1" xfId="0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 indent="3"/>
    </xf>
    <xf numFmtId="4" fontId="4" fillId="4" borderId="1" xfId="0" applyNumberFormat="1" applyFont="1" applyFill="1" applyBorder="1" applyAlignment="1">
      <alignment horizontal="right" vertical="center" indent="4"/>
    </xf>
    <xf numFmtId="4" fontId="4" fillId="3" borderId="8" xfId="0" applyNumberFormat="1" applyFont="1" applyFill="1" applyBorder="1" applyAlignment="1">
      <alignment horizontal="right" vertical="center" indent="4"/>
    </xf>
    <xf numFmtId="0" fontId="11" fillId="10" borderId="1" xfId="0" applyFont="1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1" fillId="11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165" fontId="2" fillId="3" borderId="1" xfId="0" applyNumberFormat="1" applyFont="1" applyFill="1" applyBorder="1" applyAlignment="1">
      <alignment horizontal="right" vertical="center" indent="3"/>
    </xf>
    <xf numFmtId="165" fontId="2" fillId="4" borderId="1" xfId="0" applyNumberFormat="1" applyFont="1" applyFill="1" applyBorder="1" applyAlignment="1">
      <alignment horizontal="right" vertical="center" indent="3"/>
    </xf>
    <xf numFmtId="0" fontId="0" fillId="0" borderId="0" xfId="0" applyAlignment="1">
      <alignment horizontal="right" indent="3"/>
    </xf>
    <xf numFmtId="0" fontId="0" fillId="0" borderId="0" xfId="0" applyAlignment="1">
      <alignment vertical="center" wrapText="1"/>
    </xf>
    <xf numFmtId="3" fontId="0" fillId="0" borderId="1" xfId="0" applyNumberFormat="1" applyBorder="1" applyAlignment="1">
      <alignment horizontal="right" vertical="center" wrapText="1" indent="1"/>
    </xf>
    <xf numFmtId="4" fontId="0" fillId="0" borderId="1" xfId="0" applyNumberFormat="1" applyBorder="1" applyAlignment="1">
      <alignment horizontal="right" vertical="center" wrapText="1" indent="3"/>
    </xf>
    <xf numFmtId="4" fontId="1" fillId="0" borderId="1" xfId="0" applyNumberFormat="1" applyFont="1" applyBorder="1" applyAlignment="1">
      <alignment horizontal="right" vertical="center" wrapText="1" indent="3"/>
    </xf>
    <xf numFmtId="4" fontId="0" fillId="0" borderId="1" xfId="0" applyNumberFormat="1" applyBorder="1" applyAlignment="1">
      <alignment horizontal="right" vertical="center" wrapText="1" indent="4"/>
    </xf>
    <xf numFmtId="3" fontId="0" fillId="0" borderId="1" xfId="0" applyNumberFormat="1" applyBorder="1" applyAlignment="1">
      <alignment horizontal="right" vertical="center" wrapText="1" indent="4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right" inden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Alignment="1" applyProtection="1">
      <alignment horizontal="right" indent="1"/>
      <protection locked="0"/>
    </xf>
    <xf numFmtId="0" fontId="0" fillId="0" borderId="1" xfId="0" applyBorder="1" applyAlignment="1" applyProtection="1">
      <alignment horizontal="left"/>
      <protection locked="0"/>
    </xf>
    <xf numFmtId="4" fontId="1" fillId="0" borderId="1" xfId="0" applyNumberFormat="1" applyFont="1" applyBorder="1" applyAlignment="1">
      <alignment horizontal="right" indent="1"/>
    </xf>
    <xf numFmtId="0" fontId="1" fillId="0" borderId="0" xfId="0" applyFont="1"/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14" fillId="0" borderId="0" xfId="0" applyFont="1" applyAlignment="1">
      <alignment vertical="center"/>
    </xf>
    <xf numFmtId="165" fontId="7" fillId="8" borderId="1" xfId="0" applyNumberFormat="1" applyFont="1" applyFill="1" applyBorder="1" applyAlignment="1">
      <alignment horizontal="right" vertical="center" indent="3"/>
    </xf>
    <xf numFmtId="165" fontId="11" fillId="8" borderId="1" xfId="0" applyNumberFormat="1" applyFont="1" applyFill="1" applyBorder="1" applyAlignment="1">
      <alignment horizontal="right" vertical="center" indent="3"/>
    </xf>
    <xf numFmtId="165" fontId="1" fillId="0" borderId="1" xfId="0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horizontal="right" vertical="center"/>
    </xf>
    <xf numFmtId="165" fontId="7" fillId="0" borderId="0" xfId="0" applyNumberFormat="1" applyFont="1" applyAlignment="1">
      <alignment horizontal="right" vertical="center" indent="3"/>
    </xf>
    <xf numFmtId="3" fontId="7" fillId="0" borderId="0" xfId="0" applyNumberFormat="1" applyFont="1" applyAlignment="1">
      <alignment horizontal="right" vertical="center" indent="4"/>
    </xf>
    <xf numFmtId="4" fontId="4" fillId="0" borderId="0" xfId="0" applyNumberFormat="1" applyFont="1" applyAlignment="1">
      <alignment horizontal="right" vertical="center" indent="4"/>
    </xf>
    <xf numFmtId="4" fontId="10" fillId="0" borderId="0" xfId="0" applyNumberFormat="1" applyFont="1"/>
    <xf numFmtId="0" fontId="8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 indent="1"/>
    </xf>
    <xf numFmtId="49" fontId="0" fillId="0" borderId="0" xfId="0" applyNumberFormat="1" applyAlignment="1">
      <alignment horizontal="left" vertical="center" wrapText="1" indent="1"/>
    </xf>
    <xf numFmtId="49" fontId="0" fillId="0" borderId="0" xfId="0" applyNumberFormat="1" applyAlignment="1">
      <alignment horizontal="left" vertical="top" wrapText="1" indent="1"/>
    </xf>
    <xf numFmtId="49" fontId="0" fillId="0" borderId="0" xfId="0" applyNumberFormat="1" applyAlignment="1">
      <alignment horizontal="left" vertical="center" indent="1"/>
    </xf>
    <xf numFmtId="4" fontId="1" fillId="7" borderId="0" xfId="0" applyNumberFormat="1" applyFont="1" applyFill="1" applyAlignment="1">
      <alignment horizontal="left" vertical="center"/>
    </xf>
    <xf numFmtId="0" fontId="1" fillId="0" borderId="1" xfId="0" applyFont="1" applyBorder="1"/>
    <xf numFmtId="0" fontId="5" fillId="0" borderId="0" xfId="0" applyFont="1" applyAlignment="1">
      <alignment vertical="center"/>
    </xf>
    <xf numFmtId="4" fontId="0" fillId="0" borderId="1" xfId="0" applyNumberFormat="1" applyBorder="1" applyAlignment="1">
      <alignment horizontal="right" vertical="center" wrapText="1" indent="1"/>
    </xf>
    <xf numFmtId="4" fontId="1" fillId="0" borderId="1" xfId="0" applyNumberFormat="1" applyFont="1" applyBorder="1" applyAlignment="1">
      <alignment horizontal="right" vertical="center" wrapText="1" indent="1"/>
    </xf>
    <xf numFmtId="4" fontId="4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indent="1"/>
    </xf>
    <xf numFmtId="4" fontId="4" fillId="0" borderId="1" xfId="0" applyNumberFormat="1" applyFont="1" applyBorder="1" applyAlignment="1">
      <alignment horizontal="right" indent="1"/>
    </xf>
    <xf numFmtId="0" fontId="1" fillId="5" borderId="1" xfId="0" applyFont="1" applyFill="1" applyBorder="1" applyAlignment="1">
      <alignment horizontal="center" vertical="center" wrapText="1"/>
    </xf>
    <xf numFmtId="165" fontId="0" fillId="7" borderId="0" xfId="0" applyNumberFormat="1" applyFill="1" applyAlignment="1">
      <alignment horizontal="right" vertical="center"/>
    </xf>
    <xf numFmtId="165" fontId="15" fillId="7" borderId="0" xfId="0" applyNumberFormat="1" applyFont="1" applyFill="1" applyAlignment="1">
      <alignment horizontal="right" vertical="center"/>
    </xf>
    <xf numFmtId="0" fontId="15" fillId="0" borderId="0" xfId="0" applyFont="1" applyAlignment="1">
      <alignment vertical="center"/>
    </xf>
    <xf numFmtId="4" fontId="0" fillId="0" borderId="4" xfId="0" applyNumberFormat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 indent="4"/>
    </xf>
    <xf numFmtId="4" fontId="11" fillId="2" borderId="1" xfId="0" applyNumberFormat="1" applyFont="1" applyFill="1" applyBorder="1" applyAlignment="1">
      <alignment horizontal="right" vertical="center" indent="4"/>
    </xf>
    <xf numFmtId="4" fontId="1" fillId="2" borderId="1" xfId="0" applyNumberFormat="1" applyFont="1" applyFill="1" applyBorder="1" applyAlignment="1">
      <alignment horizontal="right" vertical="center" indent="4"/>
    </xf>
    <xf numFmtId="4" fontId="1" fillId="0" borderId="0" xfId="0" applyNumberFormat="1" applyFont="1" applyAlignment="1">
      <alignment horizontal="right" vertical="center" indent="4"/>
    </xf>
    <xf numFmtId="4" fontId="1" fillId="4" borderId="1" xfId="0" applyNumberFormat="1" applyFont="1" applyFill="1" applyBorder="1" applyAlignment="1">
      <alignment horizontal="right" vertical="center" indent="4"/>
    </xf>
    <xf numFmtId="4" fontId="1" fillId="11" borderId="1" xfId="0" applyNumberFormat="1" applyFont="1" applyFill="1" applyBorder="1" applyAlignment="1">
      <alignment horizontal="right" vertical="center" indent="4"/>
    </xf>
    <xf numFmtId="4" fontId="0" fillId="2" borderId="4" xfId="0" applyNumberFormat="1" applyFill="1" applyBorder="1" applyAlignment="1">
      <alignment horizontal="right" vertical="center" indent="4"/>
    </xf>
    <xf numFmtId="4" fontId="7" fillId="9" borderId="8" xfId="0" applyNumberFormat="1" applyFont="1" applyFill="1" applyBorder="1" applyAlignment="1">
      <alignment horizontal="right" vertical="center" indent="4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 vertical="center" indent="2"/>
    </xf>
    <xf numFmtId="0" fontId="1" fillId="5" borderId="1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 indent="1"/>
    </xf>
    <xf numFmtId="4" fontId="0" fillId="0" borderId="1" xfId="0" applyNumberFormat="1" applyBorder="1" applyAlignment="1">
      <alignment horizontal="left" vertical="center"/>
    </xf>
    <xf numFmtId="0" fontId="7" fillId="13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9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4" fontId="0" fillId="0" borderId="0" xfId="0" applyNumberFormat="1" applyAlignment="1">
      <alignment horizontal="right" indent="5"/>
    </xf>
    <xf numFmtId="0" fontId="0" fillId="0" borderId="13" xfId="0" applyBorder="1"/>
    <xf numFmtId="0" fontId="0" fillId="0" borderId="14" xfId="0" applyBorder="1"/>
    <xf numFmtId="0" fontId="1" fillId="0" borderId="0" xfId="0" applyFont="1" applyAlignment="1">
      <alignment horizontal="center" vertical="center" wrapText="1"/>
    </xf>
    <xf numFmtId="1" fontId="0" fillId="0" borderId="0" xfId="0" applyNumberFormat="1"/>
    <xf numFmtId="0" fontId="5" fillId="6" borderId="1" xfId="0" applyFont="1" applyFill="1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4" fontId="27" fillId="0" borderId="0" xfId="0" applyNumberFormat="1" applyFont="1" applyAlignment="1">
      <alignment horizontal="center" vertical="top" wrapText="1"/>
    </xf>
    <xf numFmtId="4" fontId="0" fillId="0" borderId="1" xfId="0" applyNumberFormat="1" applyBorder="1" applyAlignment="1" applyProtection="1">
      <alignment horizontal="right" vertical="center" indent="1"/>
      <protection locked="0"/>
    </xf>
    <xf numFmtId="4" fontId="0" fillId="2" borderId="1" xfId="0" applyNumberFormat="1" applyFill="1" applyBorder="1" applyAlignment="1">
      <alignment horizontal="right" vertical="center" indent="1"/>
    </xf>
    <xf numFmtId="4" fontId="0" fillId="0" borderId="3" xfId="0" applyNumberFormat="1" applyBorder="1" applyAlignment="1" applyProtection="1">
      <alignment horizontal="right" vertical="center" indent="1"/>
      <protection locked="0"/>
    </xf>
    <xf numFmtId="166" fontId="4" fillId="11" borderId="1" xfId="0" applyNumberFormat="1" applyFont="1" applyFill="1" applyBorder="1" applyAlignment="1">
      <alignment horizontal="right" vertical="center" indent="4"/>
    </xf>
    <xf numFmtId="4" fontId="0" fillId="7" borderId="0" xfId="0" applyNumberFormat="1" applyFill="1" applyAlignment="1">
      <alignment horizontal="right" vertical="center"/>
    </xf>
    <xf numFmtId="4" fontId="28" fillId="7" borderId="0" xfId="0" applyNumberFormat="1" applyFont="1" applyFill="1" applyAlignment="1">
      <alignment horizontal="center" vertical="center"/>
    </xf>
    <xf numFmtId="1" fontId="21" fillId="0" borderId="4" xfId="0" applyNumberFormat="1" applyFont="1" applyBorder="1" applyAlignment="1" applyProtection="1">
      <alignment horizontal="center" vertical="center"/>
      <protection locked="0"/>
    </xf>
    <xf numFmtId="0" fontId="26" fillId="7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5" fillId="14" borderId="3" xfId="0" applyFont="1" applyFill="1" applyBorder="1" applyAlignment="1">
      <alignment vertical="center" wrapText="1"/>
    </xf>
    <xf numFmtId="49" fontId="0" fillId="0" borderId="8" xfId="0" applyNumberFormat="1" applyBorder="1" applyAlignment="1">
      <alignment horizontal="left" vertical="center" wrapText="1" indent="1"/>
    </xf>
    <xf numFmtId="4" fontId="0" fillId="0" borderId="15" xfId="0" applyNumberFormat="1" applyBorder="1" applyAlignment="1" applyProtection="1">
      <alignment horizontal="right" vertical="center" indent="1"/>
      <protection locked="0"/>
    </xf>
    <xf numFmtId="0" fontId="0" fillId="15" borderId="16" xfId="0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right" vertical="center" wrapText="1"/>
    </xf>
    <xf numFmtId="0" fontId="7" fillId="12" borderId="1" xfId="0" applyFont="1" applyFill="1" applyBorder="1" applyAlignment="1">
      <alignment horizontal="right" vertical="center" wrapText="1"/>
    </xf>
    <xf numFmtId="0" fontId="7" fillId="8" borderId="1" xfId="0" applyFont="1" applyFill="1" applyBorder="1" applyAlignment="1">
      <alignment horizontal="right" vertical="center" wrapText="1"/>
    </xf>
    <xf numFmtId="0" fontId="25" fillId="0" borderId="5" xfId="0" applyFon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19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20" fillId="6" borderId="4" xfId="0" applyFont="1" applyFill="1" applyBorder="1" applyAlignment="1">
      <alignment horizontal="center" vertical="top" wrapText="1"/>
    </xf>
    <xf numFmtId="0" fontId="20" fillId="6" borderId="9" xfId="0" applyFont="1" applyFill="1" applyBorder="1" applyAlignment="1">
      <alignment horizontal="center" vertical="top" wrapText="1"/>
    </xf>
    <xf numFmtId="0" fontId="20" fillId="6" borderId="5" xfId="0" applyFont="1" applyFill="1" applyBorder="1" applyAlignment="1">
      <alignment horizontal="center" vertical="top" wrapText="1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left" vertical="top" wrapText="1" indent="1"/>
    </xf>
    <xf numFmtId="49" fontId="0" fillId="0" borderId="1" xfId="0" applyNumberFormat="1" applyBorder="1" applyAlignment="1">
      <alignment horizontal="left" vertical="center" wrapText="1" indent="1"/>
    </xf>
    <xf numFmtId="4" fontId="0" fillId="0" borderId="0" xfId="0" applyNumberFormat="1" applyAlignment="1">
      <alignment horizontal="left" vertical="center" wrapText="1"/>
    </xf>
    <xf numFmtId="4" fontId="1" fillId="0" borderId="0" xfId="0" applyNumberFormat="1" applyFont="1" applyAlignment="1">
      <alignment horizontal="center" vertical="center"/>
    </xf>
    <xf numFmtId="4" fontId="0" fillId="0" borderId="5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left" vertical="center"/>
    </xf>
    <xf numFmtId="0" fontId="1" fillId="7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 wrapText="1" indent="1"/>
    </xf>
    <xf numFmtId="0" fontId="0" fillId="0" borderId="10" xfId="0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165" fontId="0" fillId="0" borderId="3" xfId="0" applyNumberFormat="1" applyBorder="1" applyAlignment="1">
      <alignment horizontal="right" vertical="center" wrapText="1" indent="1"/>
    </xf>
    <xf numFmtId="165" fontId="0" fillId="0" borderId="8" xfId="0" applyNumberFormat="1" applyBorder="1" applyAlignment="1">
      <alignment horizontal="right" vertical="center" wrapText="1" inden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 indent="1"/>
    </xf>
    <xf numFmtId="4" fontId="1" fillId="0" borderId="8" xfId="0" applyNumberFormat="1" applyFont="1" applyBorder="1" applyAlignment="1">
      <alignment horizontal="right" vertical="center" wrapText="1" indent="1"/>
    </xf>
    <xf numFmtId="0" fontId="1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8" fillId="0" borderId="7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 indent="13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4" fontId="3" fillId="0" borderId="1" xfId="0" applyNumberFormat="1" applyFont="1" applyBorder="1" applyAlignment="1">
      <alignment horizontal="right" indent="13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" fillId="5" borderId="3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29" fillId="16" borderId="1" xfId="0" applyFont="1" applyFill="1" applyBorder="1" applyAlignment="1">
      <alignment horizontal="center" vertical="center"/>
    </xf>
    <xf numFmtId="0" fontId="22" fillId="17" borderId="1" xfId="0" applyFont="1" applyFill="1" applyBorder="1" applyAlignment="1">
      <alignment horizontal="left" vertical="center" wrapText="1"/>
    </xf>
    <xf numFmtId="0" fontId="24" fillId="16" borderId="1" xfId="0" applyFont="1" applyFill="1" applyBorder="1" applyAlignment="1">
      <alignment horizontal="center" vertical="center" wrapText="1"/>
    </xf>
    <xf numFmtId="49" fontId="24" fillId="16" borderId="1" xfId="0" applyNumberFormat="1" applyFont="1" applyFill="1" applyBorder="1" applyAlignment="1">
      <alignment horizontal="left" vertical="center" wrapText="1" indent="1"/>
    </xf>
    <xf numFmtId="0" fontId="24" fillId="16" borderId="1" xfId="0" applyFont="1" applyFill="1" applyBorder="1" applyAlignment="1">
      <alignment vertical="center" wrapText="1"/>
    </xf>
    <xf numFmtId="0" fontId="24" fillId="16" borderId="4" xfId="0" applyFont="1" applyFill="1" applyBorder="1" applyAlignment="1">
      <alignment horizontal="left" vertical="center" wrapText="1"/>
    </xf>
    <xf numFmtId="0" fontId="24" fillId="16" borderId="4" xfId="0" applyFont="1" applyFill="1" applyBorder="1" applyAlignment="1">
      <alignment horizontal="center" vertical="center" wrapText="1"/>
    </xf>
    <xf numFmtId="0" fontId="23" fillId="16" borderId="0" xfId="0" applyFont="1" applyFill="1" applyAlignment="1">
      <alignment horizontal="left" vertical="center"/>
    </xf>
  </cellXfs>
  <cellStyles count="1">
    <cellStyle name="Normální" xfId="0" builtinId="0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rgb="FF006600"/>
      </font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3300"/>
      </font>
      <fill>
        <patternFill>
          <bgColor rgb="FF33CC3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600"/>
      </font>
      <fill>
        <patternFill>
          <bgColor rgb="FF00FF00"/>
        </patternFill>
      </fill>
    </dxf>
    <dxf>
      <font>
        <b/>
        <i val="0"/>
        <strike val="0"/>
        <color rgb="FF006600"/>
      </font>
      <fill>
        <patternFill>
          <bgColor rgb="FF89DBB4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FFFF99"/>
      <color rgb="FF006600"/>
      <color rgb="FF89DBB4"/>
      <color rgb="FF5ECE99"/>
      <color rgb="FF38BA7C"/>
      <color rgb="FF00FF00"/>
      <color rgb="FF33CC33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84274435216329"/>
          <c:y val="1.575213736733927E-2"/>
          <c:w val="0.81301889580976894"/>
          <c:h val="0.93690555403342612"/>
        </c:manualLayout>
      </c:layout>
      <c:barChart>
        <c:barDir val="bar"/>
        <c:grouping val="stack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5A52-411E-8EB0-E4C7E89ED007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5A52-411E-8EB0-E4C7E89ED00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baseline="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výpočet!$Q$1:$R$1</c:f>
              <c:strCache>
                <c:ptCount val="2"/>
                <c:pt idx="0">
                  <c:v>Plnění:</c:v>
                </c:pt>
                <c:pt idx="1">
                  <c:v>Potřeba:</c:v>
                </c:pt>
              </c:strCache>
            </c:strRef>
          </c:cat>
          <c:val>
            <c:numRef>
              <c:f>výpočet!$Q$2:$R$2</c:f>
              <c:numCache>
                <c:formatCode>0.0%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52-411E-8EB0-E4C7E89ED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5281152"/>
        <c:axId val="205282688"/>
      </c:barChart>
      <c:catAx>
        <c:axId val="20528115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cs-CZ"/>
          </a:p>
        </c:txPr>
        <c:crossAx val="205282688"/>
        <c:crosses val="autoZero"/>
        <c:auto val="1"/>
        <c:lblAlgn val="ctr"/>
        <c:lblOffset val="100"/>
        <c:noMultiLvlLbl val="0"/>
      </c:catAx>
      <c:valAx>
        <c:axId val="205282688"/>
        <c:scaling>
          <c:orientation val="minMax"/>
          <c:max val="1"/>
          <c:min val="0"/>
        </c:scaling>
        <c:delete val="1"/>
        <c:axPos val="b"/>
        <c:majorGridlines/>
        <c:numFmt formatCode="0%" sourceLinked="0"/>
        <c:majorTickMark val="out"/>
        <c:minorTickMark val="none"/>
        <c:tickLblPos val="nextTo"/>
        <c:crossAx val="205281152"/>
        <c:crosses val="autoZero"/>
        <c:crossBetween val="between"/>
        <c:majorUnit val="0.1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43294</xdr:colOff>
      <xdr:row>2</xdr:row>
      <xdr:rowOff>22516</xdr:rowOff>
    </xdr:from>
    <xdr:to>
      <xdr:col>4</xdr:col>
      <xdr:colOff>0</xdr:colOff>
      <xdr:row>4</xdr:row>
      <xdr:rowOff>175847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B1:AE60"/>
  <sheetViews>
    <sheetView showGridLines="0" showZeros="0" tabSelected="1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2" sqref="C2:D2"/>
    </sheetView>
  </sheetViews>
  <sheetFormatPr defaultRowHeight="15" x14ac:dyDescent="0.25"/>
  <cols>
    <col min="1" max="1" width="0.5703125" customWidth="1"/>
    <col min="2" max="2" width="59.42578125" customWidth="1"/>
    <col min="3" max="3" width="13" customWidth="1"/>
    <col min="4" max="4" width="82.28515625" customWidth="1"/>
    <col min="5" max="5" width="0.85546875" customWidth="1"/>
    <col min="6" max="6" width="27.85546875" customWidth="1"/>
    <col min="7" max="7" width="32.42578125" customWidth="1"/>
    <col min="8" max="8" width="1.5703125" customWidth="1"/>
    <col min="9" max="10" width="1.42578125" customWidth="1"/>
    <col min="11" max="11" width="20.85546875" customWidth="1"/>
    <col min="12" max="12" width="53.42578125" customWidth="1"/>
    <col min="13" max="13" width="15.42578125" customWidth="1"/>
    <col min="14" max="14" width="25.5703125" customWidth="1"/>
    <col min="15" max="15" width="21.140625" customWidth="1"/>
    <col min="16" max="16" width="24.5703125" customWidth="1"/>
    <col min="17" max="17" width="20.5703125" customWidth="1"/>
    <col min="18" max="18" width="26.5703125" customWidth="1"/>
    <col min="19" max="19" width="9.5703125" customWidth="1"/>
    <col min="20" max="20" width="16.5703125" customWidth="1"/>
    <col min="21" max="21" width="22.5703125" customWidth="1"/>
    <col min="22" max="22" width="17.5703125" customWidth="1"/>
    <col min="24" max="24" width="9" customWidth="1"/>
    <col min="25" max="25" width="9.140625" customWidth="1"/>
    <col min="26" max="26" width="12.42578125" bestFit="1" customWidth="1"/>
    <col min="27" max="27" width="20.140625" customWidth="1"/>
  </cols>
  <sheetData>
    <row r="1" spans="2:22" ht="20.100000000000001" customHeight="1" x14ac:dyDescent="0.3">
      <c r="B1" s="274" t="s">
        <v>169</v>
      </c>
      <c r="C1" s="274"/>
      <c r="D1" s="274"/>
      <c r="E1" s="129"/>
      <c r="F1" s="182" t="s">
        <v>159</v>
      </c>
      <c r="G1" s="183" t="s">
        <v>156</v>
      </c>
      <c r="I1" s="81" t="s">
        <v>40</v>
      </c>
      <c r="J1" s="43"/>
      <c r="M1" s="35"/>
      <c r="N1" s="203" t="s">
        <v>38</v>
      </c>
      <c r="O1" s="203"/>
      <c r="P1" s="100">
        <f>IF(C8=0,0,P9)</f>
        <v>0</v>
      </c>
      <c r="Q1" s="86" t="str">
        <f>N2</f>
        <v>Plnění:</v>
      </c>
      <c r="R1" s="86" t="str">
        <f>N1</f>
        <v>Potřeba:</v>
      </c>
      <c r="S1" s="83"/>
    </row>
    <row r="2" spans="2:22" ht="17.25" customHeight="1" x14ac:dyDescent="0.25">
      <c r="B2" s="181" t="s">
        <v>154</v>
      </c>
      <c r="C2" s="206"/>
      <c r="D2" s="207"/>
      <c r="E2" s="194"/>
      <c r="F2" s="192"/>
      <c r="G2" s="192"/>
      <c r="I2" s="39"/>
      <c r="J2" s="39"/>
      <c r="K2" s="47"/>
      <c r="L2" s="39"/>
      <c r="N2" s="204" t="s">
        <v>39</v>
      </c>
      <c r="O2" s="204"/>
      <c r="P2" s="101">
        <f>IF(C8=0,0,P54)</f>
        <v>0</v>
      </c>
      <c r="Q2" s="87">
        <f>P2</f>
        <v>0</v>
      </c>
      <c r="R2" s="87">
        <f>P1</f>
        <v>0</v>
      </c>
      <c r="S2" s="83"/>
    </row>
    <row r="3" spans="2:22" ht="14.25" customHeight="1" x14ac:dyDescent="0.25">
      <c r="B3" s="168"/>
      <c r="F3" s="193" t="str">
        <f>IF(F2=0,"vyplňte IČO uživatele (pokud má)","")</f>
        <v>vyplňte IČO uživatele (pokud má)</v>
      </c>
      <c r="G3" s="193" t="str">
        <f>IF(G2=0,"vyplňte ID uživatele, podle LPIS","")</f>
        <v>vyplňte ID uživatele, podle LPIS</v>
      </c>
      <c r="H3" s="54"/>
      <c r="I3" s="54"/>
      <c r="J3" s="54"/>
      <c r="K3" s="54"/>
      <c r="L3" s="54"/>
      <c r="N3" s="99"/>
      <c r="O3" s="99"/>
      <c r="P3" s="102"/>
    </row>
    <row r="4" spans="2:22" ht="15.75" customHeight="1" x14ac:dyDescent="0.25">
      <c r="B4" s="181" t="s">
        <v>158</v>
      </c>
      <c r="C4" s="195" t="str">
        <f>IF(C8=0,"",IF(P4&lt;0,"nesplněna","splněna"))</f>
        <v/>
      </c>
      <c r="D4" s="54"/>
      <c r="E4" s="54"/>
      <c r="F4" s="190">
        <f>IF(P1&gt;0,P1*C8,0)</f>
        <v>0</v>
      </c>
      <c r="G4" s="136" t="str">
        <f>IF(F4=0,"","ha (rozsah potřebných opatření)")</f>
        <v/>
      </c>
      <c r="I4" s="71"/>
      <c r="J4" s="71"/>
      <c r="K4" s="71"/>
      <c r="N4" s="205" t="s">
        <v>84</v>
      </c>
      <c r="O4" s="205"/>
      <c r="P4" s="121">
        <f>IF(C8=0,0,(P2-P1))</f>
        <v>0</v>
      </c>
      <c r="R4" s="209" t="s">
        <v>118</v>
      </c>
    </row>
    <row r="5" spans="2:22" ht="15.95" customHeight="1" x14ac:dyDescent="0.25">
      <c r="B5" s="181" t="s">
        <v>155</v>
      </c>
      <c r="C5" s="195" t="str">
        <f>IF(C8=0,"",IF(R55&lt;0,"záporná",IF(R55&lt;0.5,"vyrovnaná","zlepšující")))</f>
        <v/>
      </c>
      <c r="D5" s="72"/>
      <c r="E5" s="72"/>
      <c r="F5" s="190">
        <f>P2*C8</f>
        <v>0</v>
      </c>
      <c r="G5" s="136" t="str">
        <f>IF(F5&gt;0,"ha (rozsah provedených opatření)","")</f>
        <v/>
      </c>
      <c r="H5" s="71"/>
      <c r="I5" s="71"/>
      <c r="J5" s="71"/>
      <c r="K5" s="71"/>
      <c r="L5" s="71"/>
      <c r="M5" s="14"/>
      <c r="N5" s="14"/>
      <c r="O5" s="14"/>
      <c r="P5" s="40"/>
      <c r="Q5" s="40"/>
      <c r="R5" s="209"/>
    </row>
    <row r="6" spans="2:22" ht="6" customHeight="1" x14ac:dyDescent="0.25">
      <c r="B6" s="73"/>
      <c r="C6" s="74"/>
      <c r="D6" s="74"/>
      <c r="E6" s="74"/>
      <c r="F6" s="56"/>
      <c r="G6" s="167"/>
      <c r="H6" s="74"/>
      <c r="I6" s="74"/>
      <c r="J6" s="74"/>
      <c r="K6" s="74"/>
      <c r="L6" s="74"/>
      <c r="M6" s="39"/>
      <c r="N6" s="39"/>
      <c r="O6" s="54"/>
      <c r="P6" s="40"/>
      <c r="Q6" s="40"/>
      <c r="R6" s="209"/>
      <c r="S6" s="73"/>
      <c r="T6" s="74"/>
      <c r="U6" s="54"/>
    </row>
    <row r="7" spans="2:22" ht="13.5" customHeight="1" x14ac:dyDescent="0.25">
      <c r="B7" s="275" t="s">
        <v>170</v>
      </c>
      <c r="C7" s="276" t="s">
        <v>15</v>
      </c>
      <c r="D7" s="44"/>
      <c r="E7" s="44"/>
      <c r="F7" s="143" t="str">
        <f>IF(C8=0,"",IF(F4=0,"",IF(F5/F4&gt;1,"",IF(F5=0,0,F5/F4))))</f>
        <v/>
      </c>
      <c r="G7" s="136" t="str">
        <f>IF(F7="","",IF(F4=0,"",IF(F5=0,"","plnění")))</f>
        <v/>
      </c>
      <c r="H7" s="44"/>
      <c r="I7" s="44"/>
      <c r="J7" s="44"/>
      <c r="K7" s="44"/>
      <c r="L7" s="44"/>
      <c r="M7" s="56"/>
      <c r="N7" s="56"/>
      <c r="P7" s="211" t="s">
        <v>35</v>
      </c>
      <c r="Q7" s="212"/>
      <c r="R7" s="209"/>
      <c r="S7" s="38"/>
    </row>
    <row r="8" spans="2:22" ht="12.95" customHeight="1" thickBot="1" x14ac:dyDescent="0.3">
      <c r="B8" s="9" t="s">
        <v>86</v>
      </c>
      <c r="C8" s="186"/>
      <c r="D8" s="277" t="s">
        <v>171</v>
      </c>
      <c r="E8" s="130"/>
      <c r="F8" s="144">
        <f>IF(C8=0,0,IF(P4&lt;0,IF(F7&lt;100%,IF(F4&lt;0,0,1-F7),0),0))</f>
        <v>0</v>
      </c>
      <c r="G8" s="145" t="str">
        <f>IF(F8=0,"","neplnění")</f>
        <v/>
      </c>
      <c r="H8" s="75"/>
      <c r="I8" s="75"/>
      <c r="J8" s="75"/>
      <c r="K8" s="75"/>
      <c r="L8" s="75"/>
      <c r="M8" s="210" t="s">
        <v>29</v>
      </c>
      <c r="N8" s="210"/>
      <c r="O8" s="210"/>
      <c r="P8" s="60" t="str">
        <f>IF(C8=0,"",(35%*C10+30%*(C9+C11))/C8)</f>
        <v/>
      </c>
      <c r="Q8" s="154" t="str">
        <f>IF(C8=0,"",C8*P8)</f>
        <v/>
      </c>
      <c r="R8" s="62" t="str">
        <f>IF(C$8=0,"",((30*0.165)*Q8)/C$8)</f>
        <v/>
      </c>
      <c r="V8" s="168"/>
    </row>
    <row r="9" spans="2:22" ht="13.7" customHeight="1" thickBot="1" x14ac:dyDescent="0.3">
      <c r="B9" s="9" t="s">
        <v>85</v>
      </c>
      <c r="C9" s="186"/>
      <c r="D9" s="222" t="s">
        <v>139</v>
      </c>
      <c r="E9" s="131"/>
      <c r="F9" s="179"/>
      <c r="G9" s="191" t="str">
        <f>IF(C8=0,"",IF(P1&lt;0,"podmínka splněna",IF(F7=100%,"podmínka splněna",IF(F7&gt;100%,"podmínka splněna",IF(F8&gt;15%,IF(F8&gt;25%,IF(F8&gt;50%,"ekoplatba se neposkytne","snížení ekoplatby o 50 %"),"snížení ekoplatby o 10 %"),"snížení ekoplatby o 5 %")))))</f>
        <v/>
      </c>
      <c r="H9" s="76"/>
      <c r="I9" s="76"/>
      <c r="J9" s="76"/>
      <c r="K9" s="76"/>
      <c r="L9" s="76"/>
      <c r="M9" s="214" t="s">
        <v>30</v>
      </c>
      <c r="N9" s="214"/>
      <c r="O9" s="215"/>
      <c r="P9" s="88" t="str">
        <f>P18</f>
        <v/>
      </c>
      <c r="Q9" s="155" t="str">
        <f>Q18</f>
        <v/>
      </c>
      <c r="R9" s="95" t="str">
        <f>R18</f>
        <v/>
      </c>
      <c r="V9" s="13"/>
    </row>
    <row r="10" spans="2:22" ht="13.7" customHeight="1" x14ac:dyDescent="0.25">
      <c r="B10" s="9" t="s">
        <v>113</v>
      </c>
      <c r="C10" s="187">
        <f>C8-C9-C11</f>
        <v>0</v>
      </c>
      <c r="D10" s="222"/>
      <c r="E10" s="131"/>
      <c r="F10" s="227" t="s">
        <v>123</v>
      </c>
      <c r="G10" s="227"/>
      <c r="H10" s="76"/>
      <c r="I10" s="76"/>
      <c r="J10" s="76"/>
      <c r="K10" s="76"/>
      <c r="L10" s="76"/>
      <c r="M10" s="124"/>
      <c r="N10" s="124"/>
      <c r="O10" s="124"/>
      <c r="P10" s="125"/>
      <c r="Q10" s="126"/>
      <c r="R10" s="127"/>
      <c r="V10" s="13"/>
    </row>
    <row r="11" spans="2:22" ht="13.7" customHeight="1" x14ac:dyDescent="0.25">
      <c r="B11" s="9" t="s">
        <v>114</v>
      </c>
      <c r="C11" s="186"/>
      <c r="D11" s="222"/>
      <c r="E11" s="131"/>
      <c r="F11" s="227"/>
      <c r="G11" s="227"/>
      <c r="H11" s="76"/>
      <c r="I11" s="76"/>
      <c r="J11" s="76"/>
      <c r="K11" s="76"/>
      <c r="L11" s="76"/>
      <c r="M11" s="54"/>
      <c r="N11" s="55"/>
      <c r="O11" s="77"/>
      <c r="P11" s="57"/>
      <c r="Q11" s="58"/>
      <c r="R11" s="63"/>
      <c r="V11" s="13"/>
    </row>
    <row r="12" spans="2:22" ht="6" customHeight="1" x14ac:dyDescent="0.25">
      <c r="B12" s="10"/>
      <c r="C12" s="34"/>
      <c r="D12" s="49"/>
      <c r="E12" s="49"/>
      <c r="F12" s="227"/>
      <c r="G12" s="227"/>
      <c r="H12" s="45"/>
      <c r="I12" s="45"/>
      <c r="J12" s="45"/>
      <c r="K12" s="45"/>
      <c r="L12" s="45"/>
      <c r="M12" s="14"/>
      <c r="N12" s="14"/>
      <c r="O12" s="14"/>
      <c r="R12" s="64"/>
      <c r="S12" s="37"/>
      <c r="T12" s="168"/>
      <c r="U12" s="168"/>
      <c r="V12" s="168"/>
    </row>
    <row r="13" spans="2:22" ht="14.45" customHeight="1" x14ac:dyDescent="0.25">
      <c r="B13" s="278" t="s">
        <v>172</v>
      </c>
      <c r="C13" s="276" t="s">
        <v>15</v>
      </c>
      <c r="D13" s="277" t="s">
        <v>173</v>
      </c>
      <c r="E13" s="130"/>
      <c r="F13" s="135" t="s">
        <v>100</v>
      </c>
      <c r="G13" s="135" t="s">
        <v>160</v>
      </c>
      <c r="H13" s="223"/>
      <c r="I13" s="223"/>
      <c r="J13" s="223"/>
      <c r="K13" s="78"/>
      <c r="L13" s="278" t="str">
        <f>B13</f>
        <v>Vybrané plodiny (JŽ, květen 2027)</v>
      </c>
      <c r="M13" s="164" t="s">
        <v>31</v>
      </c>
      <c r="N13" s="164" t="s">
        <v>27</v>
      </c>
      <c r="O13" s="216" t="s">
        <v>36</v>
      </c>
      <c r="P13" s="213" t="s">
        <v>25</v>
      </c>
      <c r="Q13" s="213"/>
      <c r="R13" s="169" t="s">
        <v>119</v>
      </c>
      <c r="V13" s="168"/>
    </row>
    <row r="14" spans="2:22" ht="14.45" customHeight="1" x14ac:dyDescent="0.25">
      <c r="B14" s="9" t="s">
        <v>111</v>
      </c>
      <c r="C14" s="186"/>
      <c r="D14" s="165" t="s">
        <v>143</v>
      </c>
      <c r="E14" s="131"/>
      <c r="F14" s="170" t="s">
        <v>101</v>
      </c>
      <c r="G14" s="166" t="s">
        <v>98</v>
      </c>
      <c r="H14" s="223"/>
      <c r="I14" s="223"/>
      <c r="J14" s="223"/>
      <c r="K14" s="78"/>
      <c r="L14" s="9" t="s">
        <v>144</v>
      </c>
      <c r="M14" s="11">
        <v>0.45</v>
      </c>
      <c r="N14" s="12">
        <f>IF(C$8=0,0,C14/C$8)</f>
        <v>0</v>
      </c>
      <c r="O14" s="217"/>
      <c r="P14" s="8">
        <f>IF($N14=0,0,$N14*M14)</f>
        <v>0</v>
      </c>
      <c r="Q14" s="148">
        <f>C14*M14</f>
        <v>0</v>
      </c>
      <c r="R14" s="62" t="str">
        <f>IF(C$8=0,"",((30*0.165)*Q14)/C$8)</f>
        <v/>
      </c>
      <c r="V14" s="168"/>
    </row>
    <row r="15" spans="2:22" ht="14.45" customHeight="1" x14ac:dyDescent="0.25">
      <c r="B15" s="9" t="s">
        <v>34</v>
      </c>
      <c r="C15" s="186"/>
      <c r="D15" s="165" t="s">
        <v>145</v>
      </c>
      <c r="E15" s="131"/>
      <c r="F15" s="170" t="s">
        <v>103</v>
      </c>
      <c r="G15" s="166" t="s">
        <v>99</v>
      </c>
      <c r="H15" s="223"/>
      <c r="I15" s="223"/>
      <c r="J15" s="223"/>
      <c r="K15" s="78"/>
      <c r="L15" s="9" t="s">
        <v>34</v>
      </c>
      <c r="M15" s="11">
        <v>0.25</v>
      </c>
      <c r="N15" s="12">
        <f>IF(C$8=0,0,C15/C$8)</f>
        <v>0</v>
      </c>
      <c r="O15" s="217"/>
      <c r="P15" s="8">
        <f>IF($N15=0,0,$N15*M15)</f>
        <v>0</v>
      </c>
      <c r="Q15" s="148">
        <f>C15*M15</f>
        <v>0</v>
      </c>
      <c r="R15" s="62" t="str">
        <f>IF(C$8=0,"",((30*0.165)*Q15)/C$8)</f>
        <v/>
      </c>
      <c r="V15" s="168"/>
    </row>
    <row r="16" spans="2:22" ht="14.45" customHeight="1" x14ac:dyDescent="0.25">
      <c r="B16" s="9" t="s">
        <v>146</v>
      </c>
      <c r="C16" s="186"/>
      <c r="D16" s="165" t="s">
        <v>147</v>
      </c>
      <c r="E16" s="131"/>
      <c r="F16" s="170" t="s">
        <v>104</v>
      </c>
      <c r="G16" s="166" t="s">
        <v>102</v>
      </c>
      <c r="H16" s="223"/>
      <c r="I16" s="223"/>
      <c r="J16" s="223"/>
      <c r="K16" s="78"/>
      <c r="L16" s="9" t="s">
        <v>146</v>
      </c>
      <c r="M16" s="11">
        <v>-0.9</v>
      </c>
      <c r="N16" s="12">
        <f>IF(C$8=0,0,C16/C$8)</f>
        <v>0</v>
      </c>
      <c r="O16" s="217"/>
      <c r="P16" s="8">
        <f>IF($N16=0,0,$N16*M16)</f>
        <v>0</v>
      </c>
      <c r="Q16" s="148">
        <f>C16*M16</f>
        <v>0</v>
      </c>
      <c r="R16" s="62" t="str">
        <f>IF(C$8=0,"",((30*0.165)*Q16)/C$8)</f>
        <v/>
      </c>
      <c r="V16" s="168"/>
    </row>
    <row r="17" spans="2:31" ht="14.45" customHeight="1" x14ac:dyDescent="0.25">
      <c r="B17" s="9" t="s">
        <v>148</v>
      </c>
      <c r="C17" s="186"/>
      <c r="D17" s="165" t="s">
        <v>149</v>
      </c>
      <c r="E17" s="131"/>
      <c r="F17" s="171" t="s">
        <v>105</v>
      </c>
      <c r="G17" s="146" t="s">
        <v>124</v>
      </c>
      <c r="H17" s="223"/>
      <c r="I17" s="223"/>
      <c r="J17" s="223"/>
      <c r="K17" s="78"/>
      <c r="L17" s="9" t="s">
        <v>148</v>
      </c>
      <c r="M17" s="11">
        <v>-0.7</v>
      </c>
      <c r="N17" s="12">
        <f>IF(C$8=0,0,C17/C$8)</f>
        <v>0</v>
      </c>
      <c r="O17" s="218"/>
      <c r="P17" s="8">
        <f>IF($N17=0,0,$N17*M17)</f>
        <v>0</v>
      </c>
      <c r="Q17" s="148">
        <f>C17*M17</f>
        <v>0</v>
      </c>
      <c r="R17" s="62" t="str">
        <f>IF(C$8=0,"",((30*0.165)*Q17)/C$8)</f>
        <v/>
      </c>
      <c r="V17" s="168"/>
    </row>
    <row r="18" spans="2:31" ht="12.75" customHeight="1" x14ac:dyDescent="0.25">
      <c r="B18" s="147" t="str">
        <f>IF(F8=100%,"doplňte rozsah opatření (jinak zůstane 100% neplnění):","")</f>
        <v/>
      </c>
      <c r="C18" s="162" t="str">
        <f>IF(F8=100%,"↓","")</f>
        <v/>
      </c>
      <c r="D18" s="50"/>
      <c r="E18" s="50"/>
      <c r="F18" s="201" t="s">
        <v>115</v>
      </c>
      <c r="G18" s="202"/>
      <c r="H18" s="172"/>
      <c r="I18" s="224"/>
      <c r="J18" s="224"/>
      <c r="K18" s="79"/>
      <c r="O18" s="99" t="s">
        <v>94</v>
      </c>
      <c r="P18" s="59" t="str">
        <f>IF(C8=0,"",P8+P14+P15+P16+P17)</f>
        <v/>
      </c>
      <c r="Q18" s="149" t="str">
        <f>IF(C8=0,"",Q8+Q14+Q15+Q16+Q17)</f>
        <v/>
      </c>
      <c r="R18" s="65" t="str">
        <f>IF(C$8=0,"",((30*0.165)*Q18)/C$8)</f>
        <v/>
      </c>
      <c r="S18" s="36"/>
    </row>
    <row r="19" spans="2:31" ht="1.7" customHeight="1" x14ac:dyDescent="0.25">
      <c r="B19" s="14"/>
      <c r="C19" s="14"/>
      <c r="D19" s="51"/>
      <c r="E19" s="51"/>
      <c r="F19" s="173"/>
      <c r="G19" s="174"/>
      <c r="H19" s="14"/>
      <c r="I19" s="224"/>
      <c r="J19" s="224"/>
      <c r="K19" s="79"/>
      <c r="L19" s="14"/>
      <c r="M19" s="14"/>
      <c r="N19" s="14"/>
      <c r="O19" s="14"/>
      <c r="R19" s="64"/>
    </row>
    <row r="20" spans="2:31" ht="13.5" customHeight="1" x14ac:dyDescent="0.25">
      <c r="B20" s="279" t="s">
        <v>174</v>
      </c>
      <c r="C20" s="280" t="s">
        <v>28</v>
      </c>
      <c r="D20" s="277" t="s">
        <v>175</v>
      </c>
      <c r="E20" s="130"/>
      <c r="F20" s="225" t="s">
        <v>125</v>
      </c>
      <c r="G20" s="225"/>
      <c r="H20" s="175"/>
      <c r="I20" s="175"/>
      <c r="J20" s="175"/>
      <c r="K20" s="44"/>
      <c r="L20" s="279" t="str">
        <f>B20</f>
        <v>Dodání organické hmoty do půdy (2026/2027)</v>
      </c>
      <c r="M20" s="164" t="s">
        <v>31</v>
      </c>
      <c r="N20" s="164" t="s">
        <v>14</v>
      </c>
      <c r="O20" s="164" t="s">
        <v>32</v>
      </c>
      <c r="P20" s="164"/>
      <c r="Q20" s="68" t="s">
        <v>33</v>
      </c>
      <c r="R20" s="61" t="s">
        <v>120</v>
      </c>
      <c r="S20" s="85" t="s">
        <v>37</v>
      </c>
      <c r="V20" s="5"/>
      <c r="W20" s="5"/>
      <c r="X20" s="5"/>
      <c r="Y20" s="5"/>
      <c r="Z20" s="5"/>
      <c r="AA20" s="5"/>
    </row>
    <row r="21" spans="2:31" ht="12.95" customHeight="1" x14ac:dyDescent="0.25">
      <c r="B21" s="15" t="s">
        <v>13</v>
      </c>
      <c r="C21" s="186"/>
      <c r="D21" s="221" t="s">
        <v>157</v>
      </c>
      <c r="E21" s="132"/>
      <c r="F21" s="226" t="s">
        <v>150</v>
      </c>
      <c r="G21" s="226"/>
      <c r="H21" s="14"/>
      <c r="I21" s="69">
        <v>0.22</v>
      </c>
      <c r="J21" s="69"/>
      <c r="K21" s="57"/>
      <c r="L21" s="15" t="str">
        <f>B21</f>
        <v xml:space="preserve">Hnůj, separát kejdy </v>
      </c>
      <c r="M21" s="11">
        <v>1</v>
      </c>
      <c r="N21" s="16">
        <v>30</v>
      </c>
      <c r="O21" s="8">
        <v>0.22</v>
      </c>
      <c r="P21" s="8">
        <f>J21</f>
        <v>0</v>
      </c>
      <c r="Q21" s="148">
        <f>(C21/N21)*M21</f>
        <v>0</v>
      </c>
      <c r="R21" s="62" t="str">
        <f t="shared" ref="R21:R36" si="0">IF(C$8=0,"",((30*0.165)*Q21)/C$8)</f>
        <v/>
      </c>
      <c r="V21" s="6"/>
      <c r="W21" s="176"/>
      <c r="X21" s="4"/>
      <c r="Y21" s="2"/>
      <c r="Z21" s="7"/>
      <c r="AA21" s="4"/>
    </row>
    <row r="22" spans="2:31" ht="12.95" customHeight="1" x14ac:dyDescent="0.25">
      <c r="B22" s="15" t="s">
        <v>12</v>
      </c>
      <c r="C22" s="186"/>
      <c r="D22" s="221"/>
      <c r="E22" s="132"/>
      <c r="G22" s="134"/>
      <c r="H22" s="14"/>
      <c r="I22" s="69">
        <v>0.23</v>
      </c>
      <c r="J22" s="69"/>
      <c r="K22" s="57"/>
      <c r="L22" s="15" t="str">
        <f t="shared" ref="L22:L36" si="1">B22</f>
        <v>Separát digestátu, tuhý digestát</v>
      </c>
      <c r="M22" s="11">
        <v>0.75</v>
      </c>
      <c r="N22" s="16">
        <v>25</v>
      </c>
      <c r="O22" s="8">
        <v>0.23</v>
      </c>
      <c r="P22" s="8">
        <f t="shared" ref="P22:P36" si="2">J22</f>
        <v>0</v>
      </c>
      <c r="Q22" s="148">
        <f t="shared" ref="Q22:Q36" si="3">(C22/N22)*M22</f>
        <v>0</v>
      </c>
      <c r="R22" s="62" t="str">
        <f t="shared" si="0"/>
        <v/>
      </c>
      <c r="V22" s="6"/>
      <c r="W22" s="176"/>
      <c r="X22" s="4"/>
      <c r="Y22" s="2"/>
      <c r="Z22" s="7"/>
      <c r="AA22" s="4"/>
    </row>
    <row r="23" spans="2:31" ht="12.95" customHeight="1" x14ac:dyDescent="0.25">
      <c r="B23" s="15" t="s">
        <v>19</v>
      </c>
      <c r="C23" s="186"/>
      <c r="D23" s="221"/>
      <c r="E23" s="132"/>
      <c r="G23" s="134"/>
      <c r="H23" s="14"/>
      <c r="I23" s="69">
        <v>0.4</v>
      </c>
      <c r="J23" s="69"/>
      <c r="K23" s="57"/>
      <c r="L23" s="15" t="str">
        <f t="shared" si="1"/>
        <v>Kompost s poměrem C:N 10 a vyšším</v>
      </c>
      <c r="M23" s="11">
        <v>1</v>
      </c>
      <c r="N23" s="16">
        <v>15</v>
      </c>
      <c r="O23" s="8">
        <v>0.4</v>
      </c>
      <c r="P23" s="8">
        <f t="shared" si="2"/>
        <v>0</v>
      </c>
      <c r="Q23" s="148">
        <f t="shared" si="3"/>
        <v>0</v>
      </c>
      <c r="R23" s="62" t="str">
        <f t="shared" si="0"/>
        <v/>
      </c>
      <c r="V23" s="6"/>
      <c r="W23" s="176"/>
      <c r="X23" s="4"/>
      <c r="Y23" s="2"/>
      <c r="Z23" s="7"/>
      <c r="AA23" s="4"/>
    </row>
    <row r="24" spans="2:31" ht="12.95" customHeight="1" x14ac:dyDescent="0.25">
      <c r="B24" s="15" t="s">
        <v>151</v>
      </c>
      <c r="C24" s="186"/>
      <c r="D24" s="221"/>
      <c r="E24" s="132"/>
      <c r="H24" s="14"/>
      <c r="I24" s="69">
        <v>0.4</v>
      </c>
      <c r="J24" s="69"/>
      <c r="K24" s="57"/>
      <c r="L24" s="15" t="str">
        <f t="shared" si="1"/>
        <v>Kompost s poměrem C:N nižším než 10</v>
      </c>
      <c r="M24" s="11">
        <v>0.65</v>
      </c>
      <c r="N24" s="16">
        <v>15</v>
      </c>
      <c r="O24" s="8">
        <v>0.4</v>
      </c>
      <c r="P24" s="8">
        <f t="shared" si="2"/>
        <v>0</v>
      </c>
      <c r="Q24" s="148">
        <f t="shared" si="3"/>
        <v>0</v>
      </c>
      <c r="R24" s="62" t="str">
        <f t="shared" si="0"/>
        <v/>
      </c>
      <c r="V24" s="6"/>
      <c r="W24" s="176"/>
      <c r="X24" s="4"/>
      <c r="Y24" s="2"/>
      <c r="Z24" s="7"/>
      <c r="AA24" s="4"/>
    </row>
    <row r="25" spans="2:31" ht="12.95" customHeight="1" x14ac:dyDescent="0.25">
      <c r="B25" s="15" t="s">
        <v>11</v>
      </c>
      <c r="C25" s="186"/>
      <c r="D25" s="221"/>
      <c r="E25" s="132"/>
      <c r="G25" s="134"/>
      <c r="H25" s="14"/>
      <c r="I25" s="69"/>
      <c r="J25" s="158"/>
      <c r="K25" s="70"/>
      <c r="L25" s="15" t="str">
        <f t="shared" si="1"/>
        <v>Upravený kal (ve 100% sušině)</v>
      </c>
      <c r="M25" s="11">
        <v>0.4</v>
      </c>
      <c r="N25" s="16">
        <v>5</v>
      </c>
      <c r="O25" s="8">
        <v>1</v>
      </c>
      <c r="P25" s="17"/>
      <c r="Q25" s="148">
        <f t="shared" si="3"/>
        <v>0</v>
      </c>
      <c r="R25" s="62" t="str">
        <f t="shared" si="0"/>
        <v/>
      </c>
      <c r="V25" s="6"/>
      <c r="W25" s="176"/>
      <c r="X25" s="4"/>
      <c r="Y25" s="2"/>
      <c r="Z25" s="7"/>
      <c r="AA25" s="4"/>
      <c r="AE25" s="4"/>
    </row>
    <row r="26" spans="2:31" ht="12.95" customHeight="1" x14ac:dyDescent="0.25">
      <c r="B26" s="15" t="s">
        <v>3</v>
      </c>
      <c r="C26" s="186"/>
      <c r="D26" s="221"/>
      <c r="E26" s="132"/>
      <c r="F26" s="58"/>
      <c r="G26" s="58"/>
      <c r="H26" s="14"/>
      <c r="I26" s="69">
        <v>7.2999999999999995E-2</v>
      </c>
      <c r="J26" s="69"/>
      <c r="K26" s="69"/>
      <c r="L26" s="15" t="str">
        <f t="shared" si="1"/>
        <v>Kejda skotu</v>
      </c>
      <c r="M26" s="11">
        <v>0.18</v>
      </c>
      <c r="N26" s="16">
        <v>20</v>
      </c>
      <c r="O26" s="8">
        <v>7.2999999999999995E-2</v>
      </c>
      <c r="P26" s="8">
        <f t="shared" si="2"/>
        <v>0</v>
      </c>
      <c r="Q26" s="148">
        <f t="shared" si="3"/>
        <v>0</v>
      </c>
      <c r="R26" s="62" t="str">
        <f t="shared" si="0"/>
        <v/>
      </c>
      <c r="V26" s="6"/>
      <c r="W26" s="176"/>
      <c r="X26" s="4"/>
      <c r="Y26" s="2"/>
      <c r="Z26" s="7"/>
      <c r="AA26" s="4"/>
      <c r="AE26" s="4"/>
    </row>
    <row r="27" spans="2:31" ht="12.95" customHeight="1" x14ac:dyDescent="0.25">
      <c r="B27" s="15" t="s">
        <v>4</v>
      </c>
      <c r="C27" s="186"/>
      <c r="D27" s="221"/>
      <c r="E27" s="132"/>
      <c r="F27" s="58"/>
      <c r="G27" s="58"/>
      <c r="H27" s="14"/>
      <c r="I27" s="69">
        <v>5.8000000000000003E-2</v>
      </c>
      <c r="J27" s="69"/>
      <c r="K27" s="69"/>
      <c r="L27" s="15" t="str">
        <f t="shared" si="1"/>
        <v>Fugát kejdy skotu</v>
      </c>
      <c r="M27" s="11">
        <v>0.15</v>
      </c>
      <c r="N27" s="16">
        <v>20</v>
      </c>
      <c r="O27" s="8">
        <v>5.8000000000000003E-2</v>
      </c>
      <c r="P27" s="8">
        <f t="shared" si="2"/>
        <v>0</v>
      </c>
      <c r="Q27" s="148">
        <f t="shared" si="3"/>
        <v>0</v>
      </c>
      <c r="R27" s="62" t="str">
        <f t="shared" si="0"/>
        <v/>
      </c>
      <c r="V27" s="6"/>
      <c r="W27" s="176"/>
      <c r="X27" s="4"/>
      <c r="Y27" s="2"/>
      <c r="Z27" s="7"/>
      <c r="AA27" s="4"/>
      <c r="AE27" s="4"/>
    </row>
    <row r="28" spans="2:31" ht="12.95" customHeight="1" x14ac:dyDescent="0.25">
      <c r="B28" s="15" t="s">
        <v>5</v>
      </c>
      <c r="C28" s="186"/>
      <c r="D28" s="221"/>
      <c r="E28" s="132"/>
      <c r="F28" s="58"/>
      <c r="G28" s="58"/>
      <c r="H28" s="14"/>
      <c r="I28" s="69">
        <v>5.2999999999999999E-2</v>
      </c>
      <c r="J28" s="69"/>
      <c r="K28" s="69"/>
      <c r="L28" s="15" t="str">
        <f t="shared" si="1"/>
        <v>Kejda prasat</v>
      </c>
      <c r="M28" s="11">
        <v>0.1</v>
      </c>
      <c r="N28" s="16">
        <v>20</v>
      </c>
      <c r="O28" s="8">
        <v>5.2999999999999999E-2</v>
      </c>
      <c r="P28" s="8">
        <f t="shared" si="2"/>
        <v>0</v>
      </c>
      <c r="Q28" s="148">
        <f t="shared" si="3"/>
        <v>0</v>
      </c>
      <c r="R28" s="62" t="str">
        <f t="shared" si="0"/>
        <v/>
      </c>
      <c r="V28" s="6"/>
      <c r="W28" s="176"/>
      <c r="X28" s="4"/>
      <c r="Y28" s="2"/>
      <c r="Z28" s="7"/>
      <c r="AA28" s="4"/>
      <c r="AE28" s="4"/>
    </row>
    <row r="29" spans="2:31" ht="12.95" customHeight="1" x14ac:dyDescent="0.25">
      <c r="B29" s="15" t="s">
        <v>6</v>
      </c>
      <c r="C29" s="186"/>
      <c r="D29" s="221"/>
      <c r="E29" s="132"/>
      <c r="F29" s="58"/>
      <c r="G29" s="58"/>
      <c r="H29" s="14"/>
      <c r="I29" s="69">
        <v>3.4000000000000002E-2</v>
      </c>
      <c r="J29" s="69"/>
      <c r="K29" s="69"/>
      <c r="L29" s="15" t="str">
        <f t="shared" si="1"/>
        <v>Fugát kejdy prasat</v>
      </c>
      <c r="M29" s="11">
        <v>7.0000000000000007E-2</v>
      </c>
      <c r="N29" s="16">
        <v>20</v>
      </c>
      <c r="O29" s="8">
        <v>3.4000000000000002E-2</v>
      </c>
      <c r="P29" s="8">
        <f t="shared" si="2"/>
        <v>0</v>
      </c>
      <c r="Q29" s="148">
        <f t="shared" si="3"/>
        <v>0</v>
      </c>
      <c r="R29" s="62" t="str">
        <f t="shared" si="0"/>
        <v/>
      </c>
      <c r="V29" s="6"/>
      <c r="W29" s="176"/>
      <c r="X29" s="4"/>
      <c r="Y29" s="2"/>
      <c r="Z29" s="7"/>
      <c r="AA29" s="4"/>
      <c r="AE29" s="4"/>
    </row>
    <row r="30" spans="2:31" ht="12.95" customHeight="1" x14ac:dyDescent="0.25">
      <c r="B30" s="15" t="s">
        <v>7</v>
      </c>
      <c r="C30" s="186"/>
      <c r="D30" s="221"/>
      <c r="E30" s="132"/>
      <c r="F30" s="58"/>
      <c r="G30" s="58"/>
      <c r="H30" s="14"/>
      <c r="I30" s="69">
        <v>6.5000000000000002E-2</v>
      </c>
      <c r="J30" s="69"/>
      <c r="K30" s="69"/>
      <c r="L30" s="15" t="str">
        <f t="shared" si="1"/>
        <v>Digestát</v>
      </c>
      <c r="M30" s="11">
        <v>0.15</v>
      </c>
      <c r="N30" s="16">
        <v>20</v>
      </c>
      <c r="O30" s="8">
        <v>6.5000000000000002E-2</v>
      </c>
      <c r="P30" s="8">
        <f t="shared" si="2"/>
        <v>0</v>
      </c>
      <c r="Q30" s="148">
        <f t="shared" si="3"/>
        <v>0</v>
      </c>
      <c r="R30" s="62" t="str">
        <f t="shared" si="0"/>
        <v/>
      </c>
      <c r="V30" s="6"/>
      <c r="W30" s="176"/>
      <c r="X30" s="4"/>
      <c r="Y30" s="2"/>
      <c r="Z30" s="7"/>
      <c r="AA30" s="4"/>
      <c r="AE30" s="4"/>
    </row>
    <row r="31" spans="2:31" ht="12.95" customHeight="1" x14ac:dyDescent="0.25">
      <c r="B31" s="15" t="s">
        <v>8</v>
      </c>
      <c r="C31" s="186"/>
      <c r="D31" s="221"/>
      <c r="E31" s="132"/>
      <c r="F31" s="58"/>
      <c r="G31" s="58"/>
      <c r="H31" s="14"/>
      <c r="I31" s="69">
        <v>4.2999999999999997E-2</v>
      </c>
      <c r="J31" s="69"/>
      <c r="K31" s="69"/>
      <c r="L31" s="15" t="str">
        <f t="shared" si="1"/>
        <v>Fugát digestátu</v>
      </c>
      <c r="M31" s="11">
        <v>0.1</v>
      </c>
      <c r="N31" s="16">
        <v>20</v>
      </c>
      <c r="O31" s="8">
        <v>4.2999999999999997E-2</v>
      </c>
      <c r="P31" s="8">
        <f t="shared" si="2"/>
        <v>0</v>
      </c>
      <c r="Q31" s="148">
        <f t="shared" si="3"/>
        <v>0</v>
      </c>
      <c r="R31" s="62" t="str">
        <f t="shared" si="0"/>
        <v/>
      </c>
      <c r="V31" s="6"/>
      <c r="W31" s="176"/>
      <c r="X31" s="4"/>
      <c r="Y31" s="2"/>
      <c r="Z31" s="7"/>
      <c r="AA31" s="4"/>
      <c r="AE31" s="4"/>
    </row>
    <row r="32" spans="2:31" ht="12.95" customHeight="1" x14ac:dyDescent="0.25">
      <c r="B32" s="15" t="s">
        <v>9</v>
      </c>
      <c r="C32" s="186"/>
      <c r="D32" s="221"/>
      <c r="E32" s="132"/>
      <c r="F32" s="58"/>
      <c r="G32" s="58"/>
      <c r="H32" s="14"/>
      <c r="I32" s="69">
        <v>0.3</v>
      </c>
      <c r="J32" s="69"/>
      <c r="K32" s="69"/>
      <c r="L32" s="15" t="str">
        <f t="shared" si="1"/>
        <v>Výpalky melasové zahuštěné</v>
      </c>
      <c r="M32" s="11">
        <v>0.15</v>
      </c>
      <c r="N32" s="16">
        <v>5</v>
      </c>
      <c r="O32" s="8">
        <v>0.3</v>
      </c>
      <c r="P32" s="8">
        <f t="shared" si="2"/>
        <v>0</v>
      </c>
      <c r="Q32" s="148">
        <f t="shared" si="3"/>
        <v>0</v>
      </c>
      <c r="R32" s="62" t="str">
        <f t="shared" si="0"/>
        <v/>
      </c>
      <c r="V32" s="6"/>
      <c r="W32" s="176"/>
      <c r="X32" s="4"/>
      <c r="Y32" s="2"/>
      <c r="Z32" s="7"/>
      <c r="AA32" s="4"/>
      <c r="AE32" s="4"/>
    </row>
    <row r="33" spans="2:31" ht="12.95" customHeight="1" x14ac:dyDescent="0.25">
      <c r="B33" s="15" t="s">
        <v>10</v>
      </c>
      <c r="C33" s="186"/>
      <c r="D33" s="221"/>
      <c r="E33" s="132"/>
      <c r="F33" s="58"/>
      <c r="G33" s="58"/>
      <c r="H33" s="14"/>
      <c r="I33" s="69">
        <v>0.05</v>
      </c>
      <c r="J33" s="69"/>
      <c r="K33" s="69"/>
      <c r="L33" s="15" t="str">
        <f t="shared" si="1"/>
        <v>Výpalky lihovarnické</v>
      </c>
      <c r="M33" s="11">
        <v>0.1</v>
      </c>
      <c r="N33" s="16">
        <v>20</v>
      </c>
      <c r="O33" s="8">
        <v>0.05</v>
      </c>
      <c r="P33" s="8">
        <f t="shared" si="2"/>
        <v>0</v>
      </c>
      <c r="Q33" s="148">
        <f t="shared" si="3"/>
        <v>0</v>
      </c>
      <c r="R33" s="62" t="str">
        <f t="shared" si="0"/>
        <v/>
      </c>
      <c r="V33" s="6"/>
      <c r="W33" s="176"/>
      <c r="X33" s="4"/>
      <c r="Y33" s="2"/>
      <c r="Z33" s="7"/>
      <c r="AA33" s="4"/>
      <c r="AE33" s="4"/>
    </row>
    <row r="34" spans="2:31" ht="12.95" customHeight="1" x14ac:dyDescent="0.25">
      <c r="B34" s="15" t="s">
        <v>0</v>
      </c>
      <c r="C34" s="186"/>
      <c r="D34" s="221"/>
      <c r="E34" s="132"/>
      <c r="F34" s="58"/>
      <c r="G34" s="58"/>
      <c r="H34" s="14"/>
      <c r="I34" s="69">
        <v>0.73</v>
      </c>
      <c r="J34" s="69"/>
      <c r="K34" s="69"/>
      <c r="L34" s="15" t="str">
        <f t="shared" si="1"/>
        <v>Drůbeží trus sušený</v>
      </c>
      <c r="M34" s="11">
        <v>0.3</v>
      </c>
      <c r="N34" s="16">
        <v>5</v>
      </c>
      <c r="O34" s="8">
        <v>0.73</v>
      </c>
      <c r="P34" s="8">
        <f t="shared" si="2"/>
        <v>0</v>
      </c>
      <c r="Q34" s="148">
        <f t="shared" si="3"/>
        <v>0</v>
      </c>
      <c r="R34" s="62" t="str">
        <f t="shared" si="0"/>
        <v/>
      </c>
      <c r="V34" s="6"/>
      <c r="W34" s="176"/>
      <c r="X34" s="4"/>
      <c r="Y34" s="2"/>
      <c r="Z34" s="7"/>
      <c r="AA34" s="4"/>
      <c r="AE34" s="4"/>
    </row>
    <row r="35" spans="2:31" ht="12.95" customHeight="1" x14ac:dyDescent="0.25">
      <c r="B35" s="15" t="s">
        <v>1</v>
      </c>
      <c r="C35" s="186"/>
      <c r="D35" s="221"/>
      <c r="E35" s="132"/>
      <c r="F35" s="58"/>
      <c r="G35" s="58"/>
      <c r="H35" s="14"/>
      <c r="I35" s="69">
        <v>0.42</v>
      </c>
      <c r="J35" s="69"/>
      <c r="K35" s="69"/>
      <c r="L35" s="15" t="str">
        <f t="shared" si="1"/>
        <v>Drůbeží trus s podestýlkou</v>
      </c>
      <c r="M35" s="11">
        <v>0.17</v>
      </c>
      <c r="N35" s="16">
        <v>5</v>
      </c>
      <c r="O35" s="8">
        <v>0.42</v>
      </c>
      <c r="P35" s="8">
        <f t="shared" si="2"/>
        <v>0</v>
      </c>
      <c r="Q35" s="148">
        <f t="shared" si="3"/>
        <v>0</v>
      </c>
      <c r="R35" s="62" t="str">
        <f t="shared" si="0"/>
        <v/>
      </c>
      <c r="V35" s="6"/>
      <c r="W35" s="176"/>
      <c r="X35" s="4"/>
      <c r="Y35" s="2"/>
      <c r="Z35" s="7"/>
      <c r="AA35" s="4"/>
      <c r="AE35" s="4"/>
    </row>
    <row r="36" spans="2:31" ht="12.95" customHeight="1" x14ac:dyDescent="0.25">
      <c r="B36" s="15" t="s">
        <v>2</v>
      </c>
      <c r="C36" s="186"/>
      <c r="D36" s="221"/>
      <c r="E36" s="132"/>
      <c r="F36" s="58"/>
      <c r="G36" s="58"/>
      <c r="H36" s="14"/>
      <c r="I36" s="69">
        <v>0.32</v>
      </c>
      <c r="J36" s="69"/>
      <c r="K36" s="69"/>
      <c r="L36" s="15" t="str">
        <f t="shared" si="1"/>
        <v>Drůbeží trus uleželý</v>
      </c>
      <c r="M36" s="11">
        <v>0.13</v>
      </c>
      <c r="N36" s="16">
        <v>5</v>
      </c>
      <c r="O36" s="8">
        <v>0.32</v>
      </c>
      <c r="P36" s="8">
        <f t="shared" si="2"/>
        <v>0</v>
      </c>
      <c r="Q36" s="148">
        <f t="shared" si="3"/>
        <v>0</v>
      </c>
      <c r="R36" s="62" t="str">
        <f t="shared" si="0"/>
        <v/>
      </c>
      <c r="V36" s="6"/>
      <c r="W36" s="176"/>
      <c r="X36" s="4"/>
      <c r="Y36" s="2"/>
      <c r="Z36" s="7"/>
      <c r="AA36" s="4"/>
      <c r="AE36" s="4"/>
    </row>
    <row r="37" spans="2:31" ht="13.35" customHeight="1" x14ac:dyDescent="0.25">
      <c r="B37" s="147" t="str">
        <f>IF(F8=100%,"doplňte rozsah opatření (jinak zůstane 100% neplnění):","")</f>
        <v/>
      </c>
      <c r="C37" s="162" t="str">
        <f>IF(F8=100%,"↓","")</f>
        <v/>
      </c>
      <c r="D37" s="13"/>
      <c r="E37" s="13"/>
      <c r="F37" s="46"/>
      <c r="G37" s="46"/>
      <c r="H37" s="46"/>
      <c r="I37" s="46"/>
      <c r="J37" s="46"/>
      <c r="K37" s="46"/>
      <c r="L37" s="18" t="s">
        <v>23</v>
      </c>
      <c r="M37" s="19"/>
      <c r="N37" s="20"/>
      <c r="O37" s="21"/>
      <c r="P37" s="163"/>
      <c r="Q37" s="150">
        <f>SUM(Q21:Q36)</f>
        <v>0</v>
      </c>
      <c r="R37" s="65">
        <f>SUM(R21:R36)</f>
        <v>0</v>
      </c>
    </row>
    <row r="38" spans="2:31" ht="1.5" customHeight="1" x14ac:dyDescent="0.25">
      <c r="B38" s="14"/>
      <c r="C38" s="22"/>
      <c r="D38" s="13"/>
      <c r="E38" s="13"/>
      <c r="F38" s="47"/>
      <c r="G38" s="47"/>
      <c r="H38" s="47"/>
      <c r="I38" s="47"/>
      <c r="J38" s="47"/>
      <c r="K38" s="47"/>
      <c r="L38" s="14"/>
      <c r="M38" s="23"/>
      <c r="N38" s="24"/>
      <c r="O38" s="25"/>
      <c r="P38" s="26"/>
      <c r="Q38" s="27"/>
      <c r="R38" s="66"/>
    </row>
    <row r="39" spans="2:31" ht="13.5" customHeight="1" x14ac:dyDescent="0.25">
      <c r="B39" s="279" t="s">
        <v>176</v>
      </c>
      <c r="C39" s="280" t="s">
        <v>15</v>
      </c>
      <c r="D39" s="277" t="s">
        <v>177</v>
      </c>
      <c r="E39" s="130"/>
      <c r="F39" s="44"/>
      <c r="G39" s="44"/>
      <c r="H39" s="44"/>
      <c r="I39" s="44"/>
      <c r="J39" s="44"/>
      <c r="K39" s="44"/>
      <c r="L39" s="279" t="str">
        <f>B39</f>
        <v>Dodání organické hmoty a další opatření (2026/2027)</v>
      </c>
      <c r="M39" s="164" t="s">
        <v>31</v>
      </c>
      <c r="N39" s="164"/>
      <c r="O39" s="61"/>
      <c r="P39" s="61"/>
      <c r="Q39" s="68" t="s">
        <v>33</v>
      </c>
      <c r="R39" s="61" t="s">
        <v>120</v>
      </c>
      <c r="S39" s="85" t="s">
        <v>37</v>
      </c>
    </row>
    <row r="40" spans="2:31" ht="87.75" customHeight="1" x14ac:dyDescent="0.25">
      <c r="B40" s="197" t="s">
        <v>161</v>
      </c>
      <c r="C40" s="199"/>
      <c r="D40" s="198" t="s">
        <v>162</v>
      </c>
      <c r="E40" s="131"/>
      <c r="F40" s="76"/>
      <c r="G40" s="76"/>
      <c r="H40" s="76"/>
      <c r="I40" s="76"/>
      <c r="J40" s="76"/>
      <c r="K40" s="76"/>
      <c r="L40" s="177" t="str">
        <f>B40</f>
        <v>Sláma obilnin (vč. kukuřice na zrno a CCM nebo strniště po silážní kukuřici vyšší než 40 cm), olejnin, luskovin a dalších plodin pěstovaných na zrno či semeno (veškerá sláma, bez ohledu na přidání dusíku) atd.</v>
      </c>
      <c r="M40" s="11">
        <v>0.5</v>
      </c>
      <c r="N40" s="12"/>
      <c r="O40" s="28"/>
      <c r="P40" s="28"/>
      <c r="Q40" s="148">
        <f t="shared" ref="Q40:Q51" si="4">C40*M40</f>
        <v>0</v>
      </c>
      <c r="R40" s="62" t="str">
        <f t="shared" ref="R40:R51" si="5">IF(C$8=0,"",((30*0.165)*Q40)/C$8)</f>
        <v/>
      </c>
      <c r="V40" s="3"/>
      <c r="X40" s="1"/>
      <c r="Z40" s="2"/>
      <c r="AA40" s="4"/>
    </row>
    <row r="41" spans="2:31" ht="28.7" customHeight="1" x14ac:dyDescent="0.25">
      <c r="B41" s="15" t="s">
        <v>140</v>
      </c>
      <c r="C41" s="188"/>
      <c r="D41" s="165" t="s">
        <v>117</v>
      </c>
      <c r="E41" s="133"/>
      <c r="F41" s="76"/>
      <c r="G41" s="76"/>
      <c r="H41" s="76"/>
      <c r="I41" s="76"/>
      <c r="J41" s="76"/>
      <c r="K41" s="76"/>
      <c r="L41" s="177" t="str">
        <f t="shared" ref="L41:L51" si="6">B41</f>
        <v>… z toho kombinace: sláma obilnin + kejda, digestát, výpalky</v>
      </c>
      <c r="M41" s="11">
        <v>0.1</v>
      </c>
      <c r="N41" s="12"/>
      <c r="O41" s="28"/>
      <c r="P41" s="28"/>
      <c r="Q41" s="148">
        <f t="shared" si="4"/>
        <v>0</v>
      </c>
      <c r="R41" s="62" t="str">
        <f t="shared" si="5"/>
        <v/>
      </c>
      <c r="V41" s="3"/>
      <c r="X41" s="1"/>
      <c r="Y41" s="2"/>
      <c r="Z41" s="2"/>
      <c r="AA41" s="4"/>
    </row>
    <row r="42" spans="2:31" ht="12.95" customHeight="1" x14ac:dyDescent="0.25">
      <c r="B42" s="15" t="s">
        <v>78</v>
      </c>
      <c r="C42" s="188"/>
      <c r="D42" s="82" t="s">
        <v>79</v>
      </c>
      <c r="E42" s="133"/>
      <c r="F42" s="76"/>
      <c r="G42" s="76"/>
      <c r="H42" s="76"/>
      <c r="I42" s="76"/>
      <c r="J42" s="76"/>
      <c r="K42" s="76"/>
      <c r="L42" s="177" t="str">
        <f t="shared" si="6"/>
        <v>Chrást, nesklizené hlavní plodiny</v>
      </c>
      <c r="M42" s="11">
        <v>0.25</v>
      </c>
      <c r="N42" s="12"/>
      <c r="O42" s="29"/>
      <c r="P42" s="29"/>
      <c r="Q42" s="148">
        <f t="shared" si="4"/>
        <v>0</v>
      </c>
      <c r="R42" s="62" t="str">
        <f t="shared" si="5"/>
        <v/>
      </c>
      <c r="V42" s="3"/>
      <c r="X42" s="1"/>
      <c r="Y42" s="2"/>
      <c r="Z42" s="2"/>
      <c r="AA42" s="4"/>
    </row>
    <row r="43" spans="2:31" ht="12.95" customHeight="1" x14ac:dyDescent="0.25">
      <c r="B43" s="15" t="s">
        <v>88</v>
      </c>
      <c r="C43" s="188"/>
      <c r="D43" s="82" t="s">
        <v>16</v>
      </c>
      <c r="E43" s="133"/>
      <c r="F43" s="76"/>
      <c r="G43" s="76"/>
      <c r="H43" s="76"/>
      <c r="I43" s="76"/>
      <c r="J43" s="76"/>
      <c r="K43" s="76"/>
      <c r="L43" s="177" t="str">
        <f t="shared" si="6"/>
        <v>Nesklizený obrost víceletých pícnin</v>
      </c>
      <c r="M43" s="11">
        <v>0.2</v>
      </c>
      <c r="N43" s="12"/>
      <c r="O43" s="29"/>
      <c r="P43" s="29"/>
      <c r="Q43" s="148">
        <f t="shared" si="4"/>
        <v>0</v>
      </c>
      <c r="R43" s="62" t="str">
        <f t="shared" si="5"/>
        <v/>
      </c>
      <c r="V43" s="3"/>
      <c r="X43" s="1"/>
      <c r="Y43" s="2"/>
      <c r="Z43" s="2"/>
      <c r="AA43" s="4"/>
    </row>
    <row r="44" spans="2:31" ht="12.95" customHeight="1" x14ac:dyDescent="0.25">
      <c r="B44" s="15" t="s">
        <v>126</v>
      </c>
      <c r="C44" s="188"/>
      <c r="D44" s="82" t="s">
        <v>80</v>
      </c>
      <c r="E44" s="133"/>
      <c r="F44" s="76"/>
      <c r="G44" s="76"/>
      <c r="H44" s="76"/>
      <c r="I44" s="76"/>
      <c r="J44" s="76"/>
      <c r="K44" s="76"/>
      <c r="L44" s="177" t="str">
        <f t="shared" si="6"/>
        <v xml:space="preserve">Meziplodiny na zelené hnojení – následuje ozimá plodina </v>
      </c>
      <c r="M44" s="11">
        <v>0.2</v>
      </c>
      <c r="N44" s="12"/>
      <c r="O44" s="29"/>
      <c r="P44" s="29"/>
      <c r="Q44" s="148">
        <f t="shared" si="4"/>
        <v>0</v>
      </c>
      <c r="R44" s="62" t="str">
        <f t="shared" si="5"/>
        <v/>
      </c>
    </row>
    <row r="45" spans="2:31" ht="12.95" customHeight="1" x14ac:dyDescent="0.25">
      <c r="B45" s="200" t="s">
        <v>163</v>
      </c>
      <c r="C45" s="188"/>
      <c r="D45" s="82" t="s">
        <v>81</v>
      </c>
      <c r="E45" s="133"/>
      <c r="F45" s="76"/>
      <c r="G45" s="76"/>
      <c r="H45" s="76"/>
      <c r="I45" s="76"/>
      <c r="J45" s="76"/>
      <c r="K45" s="76"/>
      <c r="L45" s="177" t="str">
        <f t="shared" si="6"/>
        <v>Meziplodiny na zel. hnojení – následuje jar. plodina* (mimo AEKO)</v>
      </c>
      <c r="M45" s="11">
        <v>0.35</v>
      </c>
      <c r="N45" s="12"/>
      <c r="O45" s="29"/>
      <c r="P45" s="29"/>
      <c r="Q45" s="148">
        <f t="shared" si="4"/>
        <v>0</v>
      </c>
      <c r="R45" s="62" t="str">
        <f t="shared" si="5"/>
        <v/>
      </c>
    </row>
    <row r="46" spans="2:31" ht="12.95" customHeight="1" x14ac:dyDescent="0.25">
      <c r="B46" s="15" t="s">
        <v>20</v>
      </c>
      <c r="C46" s="188"/>
      <c r="D46" s="82" t="s">
        <v>17</v>
      </c>
      <c r="E46" s="133"/>
      <c r="F46" s="76"/>
      <c r="G46" s="76"/>
      <c r="H46" s="76"/>
      <c r="I46" s="76"/>
      <c r="J46" s="76"/>
      <c r="K46" s="76"/>
      <c r="L46" s="177" t="str">
        <f t="shared" si="6"/>
        <v>Meziplodiny – současně s hlavní plodinou</v>
      </c>
      <c r="M46" s="11">
        <v>0.2</v>
      </c>
      <c r="N46" s="12"/>
      <c r="O46" s="29"/>
      <c r="P46" s="29"/>
      <c r="Q46" s="148">
        <f t="shared" si="4"/>
        <v>0</v>
      </c>
      <c r="R46" s="62" t="str">
        <f t="shared" si="5"/>
        <v/>
      </c>
    </row>
    <row r="47" spans="2:31" ht="12.95" customHeight="1" x14ac:dyDescent="0.25">
      <c r="B47" s="15" t="s">
        <v>109</v>
      </c>
      <c r="C47" s="188"/>
      <c r="D47" s="82" t="s">
        <v>110</v>
      </c>
      <c r="E47" s="133"/>
      <c r="F47" s="76"/>
      <c r="G47" s="76"/>
      <c r="H47" s="76"/>
      <c r="I47" s="76"/>
      <c r="J47" s="76"/>
      <c r="K47" s="76"/>
      <c r="L47" s="177" t="str">
        <f>B47</f>
        <v>Meziplodiny – odvoz zelené hmoty</v>
      </c>
      <c r="M47" s="11">
        <v>0.1</v>
      </c>
      <c r="N47" s="12"/>
      <c r="O47" s="29"/>
      <c r="P47" s="29"/>
      <c r="Q47" s="148">
        <f t="shared" si="4"/>
        <v>0</v>
      </c>
      <c r="R47" s="62" t="str">
        <f>IF(C$8=0,"",((30*0.165)*Q47)/C$8)</f>
        <v/>
      </c>
    </row>
    <row r="48" spans="2:31" ht="12.95" customHeight="1" x14ac:dyDescent="0.25">
      <c r="B48" s="15" t="s">
        <v>178</v>
      </c>
      <c r="C48" s="188"/>
      <c r="D48" s="82" t="s">
        <v>128</v>
      </c>
      <c r="E48" s="133"/>
      <c r="F48" s="76"/>
      <c r="G48" s="76"/>
      <c r="H48" s="76"/>
      <c r="I48" s="76"/>
      <c r="J48" s="76"/>
      <c r="K48" s="76"/>
      <c r="L48" s="177" t="str">
        <f t="shared" si="6"/>
        <v>Úhory a ochr. pásy* (JŽ, květen 2027) – bez odvozu zelené hmoty</v>
      </c>
      <c r="M48" s="11">
        <v>0.45</v>
      </c>
      <c r="N48" s="12"/>
      <c r="O48" s="29"/>
      <c r="P48" s="29"/>
      <c r="Q48" s="148">
        <f t="shared" si="4"/>
        <v>0</v>
      </c>
      <c r="R48" s="62" t="str">
        <f t="shared" si="5"/>
        <v/>
      </c>
    </row>
    <row r="49" spans="2:19" ht="12.95" customHeight="1" x14ac:dyDescent="0.25">
      <c r="B49" s="15" t="s">
        <v>179</v>
      </c>
      <c r="C49" s="188"/>
      <c r="D49" s="82" t="s">
        <v>129</v>
      </c>
      <c r="E49" s="133"/>
      <c r="F49" s="76"/>
      <c r="G49" s="76"/>
      <c r="H49" s="76"/>
      <c r="I49" s="76"/>
      <c r="J49" s="76"/>
      <c r="K49" s="76"/>
      <c r="L49" s="177" t="str">
        <f t="shared" si="6"/>
        <v>Úhory a ochr. pásy* (JŽ, květen 2027) – odvoz zelené hmoty</v>
      </c>
      <c r="M49" s="11">
        <v>0.1</v>
      </c>
      <c r="N49" s="12"/>
      <c r="O49" s="29"/>
      <c r="P49" s="29"/>
      <c r="Q49" s="148">
        <f t="shared" si="4"/>
        <v>0</v>
      </c>
      <c r="R49" s="62" t="str">
        <f t="shared" si="5"/>
        <v/>
      </c>
    </row>
    <row r="50" spans="2:19" ht="12.95" customHeight="1" x14ac:dyDescent="0.25">
      <c r="B50" s="15" t="s">
        <v>26</v>
      </c>
      <c r="C50" s="188"/>
      <c r="D50" s="82" t="s">
        <v>26</v>
      </c>
      <c r="E50" s="133"/>
      <c r="F50" s="76"/>
      <c r="G50" s="76"/>
      <c r="H50" s="76"/>
      <c r="I50" s="76"/>
      <c r="J50" s="76"/>
      <c r="K50" s="76"/>
      <c r="L50" s="177" t="str">
        <f t="shared" si="6"/>
        <v xml:space="preserve">Strip-till </v>
      </c>
      <c r="M50" s="11">
        <v>0.2</v>
      </c>
      <c r="N50" s="12"/>
      <c r="O50" s="28"/>
      <c r="P50" s="28"/>
      <c r="Q50" s="148">
        <f t="shared" si="4"/>
        <v>0</v>
      </c>
      <c r="R50" s="62" t="str">
        <f t="shared" si="5"/>
        <v/>
      </c>
    </row>
    <row r="51" spans="2:19" ht="12.95" customHeight="1" x14ac:dyDescent="0.25">
      <c r="B51" s="15" t="s">
        <v>21</v>
      </c>
      <c r="C51" s="186"/>
      <c r="D51" s="82" t="s">
        <v>18</v>
      </c>
      <c r="E51" s="133"/>
      <c r="F51" s="76"/>
      <c r="G51" s="76"/>
      <c r="H51" s="76"/>
      <c r="I51" s="76"/>
      <c r="J51" s="76"/>
      <c r="K51" s="76"/>
      <c r="L51" s="177" t="str">
        <f t="shared" si="6"/>
        <v xml:space="preserve">Přímé setí </v>
      </c>
      <c r="M51" s="11">
        <v>0.2</v>
      </c>
      <c r="N51" s="12"/>
      <c r="O51" s="28"/>
      <c r="P51" s="28"/>
      <c r="Q51" s="148">
        <f t="shared" si="4"/>
        <v>0</v>
      </c>
      <c r="R51" s="62" t="str">
        <f t="shared" si="5"/>
        <v/>
      </c>
    </row>
    <row r="52" spans="2:19" ht="81.75" customHeight="1" x14ac:dyDescent="0.25">
      <c r="B52" s="219" t="s">
        <v>164</v>
      </c>
      <c r="C52" s="220"/>
      <c r="D52" s="219"/>
      <c r="E52" s="52"/>
      <c r="F52" s="46"/>
      <c r="G52" s="46"/>
      <c r="H52" s="46"/>
      <c r="I52" s="46"/>
      <c r="J52" s="46"/>
      <c r="K52" s="46"/>
      <c r="L52" s="18" t="s">
        <v>24</v>
      </c>
      <c r="M52" s="30"/>
      <c r="N52" s="15"/>
      <c r="O52" s="15"/>
      <c r="P52" s="163"/>
      <c r="Q52" s="150">
        <f>SUM(Q40:Q51)</f>
        <v>0</v>
      </c>
      <c r="R52" s="65">
        <f>SUM(R40:R51)</f>
        <v>0</v>
      </c>
    </row>
    <row r="53" spans="2:19" ht="4.3499999999999996" customHeight="1" x14ac:dyDescent="0.25">
      <c r="B53" s="83"/>
      <c r="C53" s="31"/>
      <c r="D53" s="31"/>
      <c r="E53" s="31"/>
      <c r="F53" s="48"/>
      <c r="G53" s="48"/>
      <c r="H53" s="48"/>
      <c r="I53" s="48"/>
      <c r="J53" s="48"/>
      <c r="K53" s="48"/>
      <c r="L53" s="53"/>
      <c r="M53" s="32"/>
      <c r="N53" s="14"/>
      <c r="O53" s="14"/>
      <c r="P53" s="32"/>
      <c r="Q53" s="151"/>
      <c r="R53" s="67"/>
      <c r="S53" s="84"/>
    </row>
    <row r="54" spans="2:19" ht="12" customHeight="1" x14ac:dyDescent="0.25">
      <c r="B54" s="281" t="s">
        <v>168</v>
      </c>
      <c r="C54" s="281"/>
      <c r="D54" s="281"/>
      <c r="E54" s="41"/>
      <c r="F54" s="48"/>
      <c r="G54" s="48"/>
      <c r="H54" s="48"/>
      <c r="I54" s="48"/>
      <c r="J54" s="48"/>
      <c r="K54" s="48"/>
      <c r="L54" s="89" t="s">
        <v>22</v>
      </c>
      <c r="M54" s="90"/>
      <c r="N54" s="91"/>
      <c r="O54" s="92"/>
      <c r="P54" s="93">
        <f>IF(C$8=0,0,Q54/C$8)</f>
        <v>0</v>
      </c>
      <c r="Q54" s="152">
        <f>Q37+Q52</f>
        <v>0</v>
      </c>
      <c r="R54" s="94">
        <f>R37+R52</f>
        <v>0</v>
      </c>
      <c r="S54" s="178" t="s">
        <v>121</v>
      </c>
    </row>
    <row r="55" spans="2:19" ht="18.95" customHeight="1" x14ac:dyDescent="0.25">
      <c r="B55" s="208" t="s">
        <v>153</v>
      </c>
      <c r="C55" s="208"/>
      <c r="D55" s="208"/>
      <c r="E55" s="41"/>
      <c r="F55" s="39"/>
      <c r="G55" s="39"/>
      <c r="H55" s="39"/>
      <c r="I55" s="39"/>
      <c r="J55" s="39"/>
      <c r="K55" s="39"/>
      <c r="L55" s="96" t="s">
        <v>87</v>
      </c>
      <c r="M55" s="97"/>
      <c r="N55" s="97"/>
      <c r="O55" s="98"/>
      <c r="P55" s="122">
        <f>IF(C$8=0,0,Q55/C$8)</f>
        <v>0</v>
      </c>
      <c r="Q55" s="153">
        <f>IF(C8=0,0,Q54-Q9)</f>
        <v>0</v>
      </c>
      <c r="R55" s="189">
        <f>IF(C8=0,0,R54-R18)</f>
        <v>0</v>
      </c>
      <c r="S55" s="178" t="s">
        <v>122</v>
      </c>
    </row>
    <row r="56" spans="2:19" ht="12" customHeight="1" x14ac:dyDescent="0.25">
      <c r="C56" s="14"/>
      <c r="D56" s="41"/>
      <c r="E56" s="41"/>
      <c r="F56" s="39"/>
      <c r="G56" s="39"/>
      <c r="H56" s="39"/>
      <c r="I56" s="39"/>
      <c r="J56" s="39"/>
      <c r="K56" s="39"/>
      <c r="L56" s="39"/>
      <c r="M56" s="42"/>
      <c r="N56" s="42"/>
      <c r="O56" s="42"/>
      <c r="P56" s="42"/>
      <c r="Q56" s="33"/>
      <c r="R56" s="33"/>
    </row>
    <row r="57" spans="2:19" ht="12.95" customHeight="1" x14ac:dyDescent="0.25">
      <c r="C57" s="14"/>
      <c r="D57" s="41"/>
      <c r="E57" s="41"/>
      <c r="F57" s="39"/>
      <c r="G57" s="39"/>
      <c r="H57" s="39"/>
      <c r="I57" s="39"/>
      <c r="J57" s="39"/>
      <c r="K57" s="39"/>
      <c r="L57" s="39"/>
      <c r="M57" s="14"/>
      <c r="N57" s="14"/>
      <c r="O57" s="14"/>
      <c r="P57" s="14"/>
    </row>
    <row r="58" spans="2:19" ht="11.25" customHeight="1" x14ac:dyDescent="0.25">
      <c r="S58" s="41"/>
    </row>
    <row r="60" spans="2:19" x14ac:dyDescent="0.25">
      <c r="C60" s="80"/>
      <c r="D60" s="80"/>
      <c r="E60" s="80"/>
      <c r="F60" s="80"/>
      <c r="G60" s="80"/>
      <c r="H60" s="80"/>
      <c r="I60" s="80"/>
      <c r="J60" s="80"/>
      <c r="K60" s="80"/>
      <c r="L60" s="80"/>
    </row>
  </sheetData>
  <sheetProtection algorithmName="SHA-512" hashValue="RO73GQ1B7Y4m5H2cuvDe7RqmFKWrYLjQOZHEG1l4oANnUnIs9Smv65RnzjxVcP/DqCeE1KCTdnGBHzrILnFvCw==" saltValue="EzlJ6YmajDk2G1+kquFbXg==" spinCount="100000" sheet="1" formatCells="0" formatColumns="0" formatRows="0" selectLockedCells="1"/>
  <mergeCells count="22">
    <mergeCell ref="B54:D54"/>
    <mergeCell ref="B55:D55"/>
    <mergeCell ref="R4:R7"/>
    <mergeCell ref="M8:O8"/>
    <mergeCell ref="P7:Q7"/>
    <mergeCell ref="P13:Q13"/>
    <mergeCell ref="M9:O9"/>
    <mergeCell ref="O13:O17"/>
    <mergeCell ref="B52:D52"/>
    <mergeCell ref="D21:D36"/>
    <mergeCell ref="D9:D11"/>
    <mergeCell ref="H13:J17"/>
    <mergeCell ref="I18:J19"/>
    <mergeCell ref="F20:G20"/>
    <mergeCell ref="F21:G21"/>
    <mergeCell ref="F10:G12"/>
    <mergeCell ref="F18:G18"/>
    <mergeCell ref="N1:O1"/>
    <mergeCell ref="N2:O2"/>
    <mergeCell ref="N4:O4"/>
    <mergeCell ref="B1:D1"/>
    <mergeCell ref="C2:D2"/>
  </mergeCells>
  <conditionalFormatting sqref="B18">
    <cfRule type="containsText" dxfId="47" priority="10" operator="containsText" text="rozsah">
      <formula>NOT(ISERROR(SEARCH("rozsah",B18)))</formula>
    </cfRule>
  </conditionalFormatting>
  <conditionalFormatting sqref="B37">
    <cfRule type="containsText" dxfId="46" priority="9" operator="containsText" text="rozsah">
      <formula>NOT(ISERROR(SEARCH("rozsah",B37)))</formula>
    </cfRule>
  </conditionalFormatting>
  <conditionalFormatting sqref="C4 I1 I4:K4 H5:L6">
    <cfRule type="containsText" dxfId="45" priority="75" operator="containsText" text="Nesplňuje">
      <formula>NOT(ISERROR(SEARCH("Nesplňuje",C1)))</formula>
    </cfRule>
  </conditionalFormatting>
  <conditionalFormatting sqref="C4">
    <cfRule type="containsText" dxfId="44" priority="65" operator="containsText" text="nesplněny">
      <formula>NOT(ISERROR(SEARCH("nesplněny",C4)))</formula>
    </cfRule>
    <cfRule type="cellIs" dxfId="43" priority="19" operator="equal">
      <formula>"splněna"</formula>
    </cfRule>
    <cfRule type="cellIs" dxfId="42" priority="20" operator="equal">
      <formula>"nesplněna"</formula>
    </cfRule>
    <cfRule type="containsText" dxfId="41" priority="66" operator="containsText" text="splněny">
      <formula>NOT(ISERROR(SEARCH("splněny",C4)))</formula>
    </cfRule>
  </conditionalFormatting>
  <conditionalFormatting sqref="C5 T6">
    <cfRule type="containsText" dxfId="40" priority="69" operator="containsText" text="Zlepšující">
      <formula>NOT(ISERROR(SEARCH("Zlepšující",C5)))</formula>
    </cfRule>
    <cfRule type="containsText" dxfId="39" priority="70" operator="containsText" text="Zlepšující">
      <formula>NOT(ISERROR(SEARCH("Zlepšující",C5)))</formula>
    </cfRule>
    <cfRule type="containsText" dxfId="38" priority="71" operator="containsText" text="Vyrovnaná">
      <formula>NOT(ISERROR(SEARCH("Vyrovnaná",C5)))</formula>
    </cfRule>
    <cfRule type="containsText" dxfId="37" priority="72" operator="containsText" text="Zlepšující">
      <formula>NOT(ISERROR(SEARCH("Zlepšující",C5)))</formula>
    </cfRule>
    <cfRule type="containsText" dxfId="36" priority="73" operator="containsText" text="Záporná">
      <formula>NOT(ISERROR(SEARCH("Záporná",C5)))</formula>
    </cfRule>
    <cfRule type="containsText" dxfId="35" priority="74" operator="containsText" text="Vyrovnaná">
      <formula>NOT(ISERROR(SEARCH("Vyrovnaná",C5)))</formula>
    </cfRule>
  </conditionalFormatting>
  <conditionalFormatting sqref="C10">
    <cfRule type="cellIs" dxfId="34" priority="24" operator="lessThan">
      <formula>0</formula>
    </cfRule>
  </conditionalFormatting>
  <conditionalFormatting sqref="C18">
    <cfRule type="containsText" dxfId="33" priority="8" operator="containsText" text="↓">
      <formula>NOT(ISERROR(SEARCH("↓",C18)))</formula>
    </cfRule>
  </conditionalFormatting>
  <conditionalFormatting sqref="C37">
    <cfRule type="containsText" dxfId="32" priority="7" operator="containsText" text="↓">
      <formula>NOT(ISERROR(SEARCH("↓",C37)))</formula>
    </cfRule>
  </conditionalFormatting>
  <conditionalFormatting sqref="C41">
    <cfRule type="cellIs" dxfId="31" priority="22" operator="greaterThan">
      <formula>$C$40</formula>
    </cfRule>
    <cfRule type="cellIs" dxfId="30" priority="23" operator="greaterThan">
      <formula>"c40"</formula>
    </cfRule>
  </conditionalFormatting>
  <conditionalFormatting sqref="C6:G6">
    <cfRule type="containsText" dxfId="29" priority="44" operator="containsText" text="Nesplňuje">
      <formula>NOT(ISERROR(SEARCH("Nesplňuje",C6)))</formula>
    </cfRule>
  </conditionalFormatting>
  <conditionalFormatting sqref="F4:F5">
    <cfRule type="containsText" dxfId="28" priority="62" operator="containsText" text="Nesplňuje">
      <formula>NOT(ISERROR(SEARCH("Nesplňuje",F4)))</formula>
    </cfRule>
    <cfRule type="containsText" dxfId="27" priority="61" operator="containsText" text="Splňuje">
      <formula>NOT(ISERROR(SEARCH("Splňuje",F4)))</formula>
    </cfRule>
    <cfRule type="containsText" dxfId="26" priority="60" operator="containsText" text="Nesplňuje">
      <formula>NOT(ISERROR(SEARCH("Nesplňuje",F4)))</formula>
    </cfRule>
  </conditionalFormatting>
  <conditionalFormatting sqref="F7">
    <cfRule type="containsText" dxfId="25" priority="26" operator="containsText" text="Nesplňuje">
      <formula>NOT(ISERROR(SEARCH("Nesplňuje",F7)))</formula>
    </cfRule>
    <cfRule type="containsText" dxfId="24" priority="27" operator="containsText" text="Splňuje">
      <formula>NOT(ISERROR(SEARCH("Splňuje",F7)))</formula>
    </cfRule>
  </conditionalFormatting>
  <conditionalFormatting sqref="F7:F8">
    <cfRule type="containsText" dxfId="23" priority="28" operator="containsText" text="Nesplňuje">
      <formula>NOT(ISERROR(SEARCH("Nesplňuje",F7)))</formula>
    </cfRule>
  </conditionalFormatting>
  <conditionalFormatting sqref="F8">
    <cfRule type="containsText" dxfId="22" priority="32" operator="containsText" text="Nesplňuje">
      <formula>NOT(ISERROR(SEARCH("Nesplňuje",F8)))</formula>
    </cfRule>
    <cfRule type="containsText" dxfId="21" priority="31" operator="containsText" text="Splňuje">
      <formula>NOT(ISERROR(SEARCH("Splňuje",F8)))</formula>
    </cfRule>
  </conditionalFormatting>
  <conditionalFormatting sqref="F3:G3">
    <cfRule type="containsText" dxfId="20" priority="4" operator="containsText" text="prosíme vyplnit IČO">
      <formula>NOT(ISERROR(SEARCH("prosíme vyplnit IČO",F3)))</formula>
    </cfRule>
    <cfRule type="containsText" dxfId="19" priority="1" operator="containsText" text="uživatele">
      <formula>NOT(ISERROR(SEARCH("uživatele",F3)))</formula>
    </cfRule>
  </conditionalFormatting>
  <conditionalFormatting sqref="G6">
    <cfRule type="containsText" dxfId="18" priority="42" operator="containsText" text="Nesplňuje">
      <formula>NOT(ISERROR(SEARCH("Nesplňuje",G6)))</formula>
    </cfRule>
    <cfRule type="containsText" dxfId="17" priority="43" operator="containsText" text="Splňuje">
      <formula>NOT(ISERROR(SEARCH("Splňuje",G6)))</formula>
    </cfRule>
  </conditionalFormatting>
  <conditionalFormatting sqref="G7:G8">
    <cfRule type="cellIs" dxfId="16" priority="41" operator="lessThan">
      <formula>0</formula>
    </cfRule>
  </conditionalFormatting>
  <conditionalFormatting sqref="G9">
    <cfRule type="containsText" dxfId="15" priority="14" operator="containsText" text="neposkytne">
      <formula>NOT(ISERROR(SEARCH("neposkytne",G9)))</formula>
    </cfRule>
    <cfRule type="containsText" dxfId="14" priority="25" operator="containsText" text="sankc">
      <formula>NOT(ISERROR(SEARCH("sankc",G9)))</formula>
    </cfRule>
    <cfRule type="containsText" dxfId="13" priority="21" operator="containsText" text="podmínka splněna">
      <formula>NOT(ISERROR(SEARCH("podmínka splněna",G9)))</formula>
    </cfRule>
    <cfRule type="containsText" dxfId="12" priority="16" operator="containsText" text="snížení">
      <formula>NOT(ISERROR(SEARCH("snížení",G9)))</formula>
    </cfRule>
    <cfRule type="containsText" dxfId="11" priority="15" operator="containsText" text="splněna">
      <formula>NOT(ISERROR(SEARCH("splněna",G9)))</formula>
    </cfRule>
  </conditionalFormatting>
  <conditionalFormatting sqref="I1 C4 I4:K4 H5:L6 C6:F6">
    <cfRule type="containsText" dxfId="10" priority="76" operator="containsText" text="Splňuje">
      <formula>NOT(ISERROR(SEARCH("Splňuje",C1)))</formula>
    </cfRule>
    <cfRule type="containsText" dxfId="9" priority="77" operator="containsText" text="Nesplňuje">
      <formula>NOT(ISERROR(SEARCH("Nesplňuje",C1)))</formula>
    </cfRule>
  </conditionalFormatting>
  <conditionalFormatting sqref="P4">
    <cfRule type="cellIs" dxfId="8" priority="63" operator="lessThan">
      <formula>0</formula>
    </cfRule>
  </conditionalFormatting>
  <conditionalFormatting sqref="P55">
    <cfRule type="cellIs" dxfId="7" priority="55" operator="lessThan">
      <formula>0</formula>
    </cfRule>
  </conditionalFormatting>
  <pageMargins left="0.31496062992125984" right="0.31496062992125984" top="0.59055118110236227" bottom="0.59055118110236227" header="0.31496062992125984" footer="0.31496062992125984"/>
  <pageSetup paperSize="9" scale="66" fitToWidth="0" orientation="landscape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  <pageSetUpPr fitToPage="1"/>
  </sheetPr>
  <dimension ref="B1:G69"/>
  <sheetViews>
    <sheetView showGridLines="0" zoomScale="90" zoomScaleNormal="90" zoomScaleSheetLayoutView="110" workbookViewId="0">
      <selection activeCell="C5" sqref="C5:G5"/>
    </sheetView>
  </sheetViews>
  <sheetFormatPr defaultRowHeight="15" x14ac:dyDescent="0.25"/>
  <cols>
    <col min="1" max="1" width="1.5703125" customWidth="1"/>
    <col min="2" max="2" width="24.42578125" customWidth="1"/>
    <col min="3" max="3" width="46.5703125" customWidth="1"/>
    <col min="4" max="4" width="17.140625" customWidth="1"/>
    <col min="5" max="5" width="19.140625" customWidth="1"/>
    <col min="6" max="6" width="14.85546875" customWidth="1"/>
    <col min="7" max="7" width="14.42578125" customWidth="1"/>
    <col min="9" max="9" width="11.85546875" customWidth="1"/>
    <col min="10" max="12" width="17" customWidth="1"/>
  </cols>
  <sheetData>
    <row r="1" spans="2:7" ht="17.25" customHeight="1" x14ac:dyDescent="0.25">
      <c r="B1" s="240" t="s">
        <v>180</v>
      </c>
      <c r="C1" s="240"/>
      <c r="D1" s="240"/>
      <c r="E1" s="240"/>
      <c r="F1" s="240"/>
      <c r="G1" s="240"/>
    </row>
    <row r="2" spans="2:7" ht="13.7" customHeight="1" x14ac:dyDescent="0.25">
      <c r="B2" s="161" t="s">
        <v>137</v>
      </c>
      <c r="C2" s="83"/>
      <c r="D2" s="14"/>
      <c r="E2" s="14"/>
      <c r="F2" s="14"/>
      <c r="G2" s="14"/>
    </row>
    <row r="3" spans="2:7" ht="21.6" customHeight="1" x14ac:dyDescent="0.25">
      <c r="B3" s="236" t="s">
        <v>43</v>
      </c>
      <c r="C3" s="236"/>
      <c r="D3" s="236"/>
      <c r="E3" s="236"/>
      <c r="F3" s="236"/>
      <c r="G3" s="236"/>
    </row>
    <row r="4" spans="2:7" ht="31.5" customHeight="1" x14ac:dyDescent="0.25">
      <c r="B4" s="159" t="s">
        <v>41</v>
      </c>
      <c r="C4" s="180" t="str">
        <f>IF(výpočet!C2=0,"",výpočet!C2)</f>
        <v/>
      </c>
      <c r="D4" s="142" t="s">
        <v>159</v>
      </c>
      <c r="E4" s="196" t="str">
        <f>IF(výpočet!F2=0,"",výpočet!F2)</f>
        <v/>
      </c>
      <c r="F4" s="142" t="s">
        <v>156</v>
      </c>
      <c r="G4" s="196" t="str">
        <f>IF(výpočet!G2=0,"",výpočet!G2)</f>
        <v/>
      </c>
    </row>
    <row r="5" spans="2:7" ht="15.95" customHeight="1" x14ac:dyDescent="0.25">
      <c r="B5" s="159" t="s">
        <v>42</v>
      </c>
      <c r="C5" s="244" t="s">
        <v>181</v>
      </c>
      <c r="D5" s="245"/>
      <c r="E5" s="245"/>
      <c r="F5" s="245"/>
      <c r="G5" s="246"/>
    </row>
    <row r="6" spans="2:7" ht="8.1" customHeight="1" x14ac:dyDescent="0.25">
      <c r="B6" s="103"/>
      <c r="C6" s="103"/>
      <c r="D6" s="103"/>
      <c r="E6" s="103"/>
      <c r="F6" s="103"/>
      <c r="G6" s="103"/>
    </row>
    <row r="7" spans="2:7" ht="15.95" customHeight="1" x14ac:dyDescent="0.25">
      <c r="B7" s="236" t="s">
        <v>89</v>
      </c>
      <c r="C7" s="236"/>
      <c r="D7" s="236"/>
      <c r="E7" s="236"/>
      <c r="F7" s="236"/>
      <c r="G7" s="236"/>
    </row>
    <row r="8" spans="2:7" ht="15.95" customHeight="1" x14ac:dyDescent="0.25">
      <c r="B8" s="229" t="s">
        <v>44</v>
      </c>
      <c r="C8" s="233"/>
      <c r="D8" s="230"/>
      <c r="E8" s="142" t="s">
        <v>15</v>
      </c>
      <c r="F8" s="241" t="s">
        <v>138</v>
      </c>
      <c r="G8" s="241"/>
    </row>
    <row r="9" spans="2:7" ht="15.95" customHeight="1" x14ac:dyDescent="0.25">
      <c r="B9" s="231" t="s">
        <v>90</v>
      </c>
      <c r="C9" s="234"/>
      <c r="D9" s="232"/>
      <c r="E9" s="106" t="str">
        <f>IF(výpočet!C8=0,"",výpočet!C8)</f>
        <v/>
      </c>
      <c r="F9" s="241"/>
      <c r="G9" s="241"/>
    </row>
    <row r="10" spans="2:7" ht="15.95" customHeight="1" x14ac:dyDescent="0.25">
      <c r="B10" s="231" t="s">
        <v>45</v>
      </c>
      <c r="C10" s="234"/>
      <c r="D10" s="232"/>
      <c r="E10" s="105" t="str">
        <f>IF(výpočet!C9=0,"",výpočet!C9)</f>
        <v/>
      </c>
      <c r="F10" s="242">
        <v>0.3</v>
      </c>
      <c r="G10" s="243"/>
    </row>
    <row r="11" spans="2:7" ht="15.95" customHeight="1" x14ac:dyDescent="0.25">
      <c r="B11" s="231" t="s">
        <v>91</v>
      </c>
      <c r="C11" s="234"/>
      <c r="D11" s="232"/>
      <c r="E11" s="105" t="str">
        <f>IF((výpočet!C9+výpočet!C11=0),'k tisku'!E9,výpočet!C8-výpočet!C9-výpočet!C11)</f>
        <v/>
      </c>
      <c r="F11" s="242">
        <v>0.35</v>
      </c>
      <c r="G11" s="243"/>
    </row>
    <row r="12" spans="2:7" ht="15.95" customHeight="1" x14ac:dyDescent="0.25">
      <c r="B12" s="231" t="s">
        <v>46</v>
      </c>
      <c r="C12" s="234"/>
      <c r="D12" s="232"/>
      <c r="E12" s="105" t="str">
        <f>IF(výpočet!C11=0,"",výpočet!C11)</f>
        <v/>
      </c>
      <c r="F12" s="242">
        <v>0.3</v>
      </c>
      <c r="G12" s="243"/>
    </row>
    <row r="13" spans="2:7" ht="15.95" customHeight="1" x14ac:dyDescent="0.25">
      <c r="B13" s="231" t="s">
        <v>47</v>
      </c>
      <c r="C13" s="234"/>
      <c r="D13" s="234"/>
      <c r="E13" s="232"/>
      <c r="F13" s="242" t="str">
        <f>výpočet!P8</f>
        <v/>
      </c>
      <c r="G13" s="243"/>
    </row>
    <row r="14" spans="2:7" ht="15.95" customHeight="1" x14ac:dyDescent="0.25">
      <c r="B14" s="229" t="s">
        <v>48</v>
      </c>
      <c r="C14" s="233"/>
      <c r="D14" s="233"/>
      <c r="E14" s="230"/>
      <c r="F14" s="247" t="str">
        <f>IF(E9="","",F13*E9)</f>
        <v/>
      </c>
      <c r="G14" s="248"/>
    </row>
    <row r="15" spans="2:7" ht="9" customHeight="1" x14ac:dyDescent="0.25">
      <c r="B15" s="103"/>
      <c r="C15" s="103"/>
      <c r="D15" s="103"/>
      <c r="E15" s="103"/>
      <c r="F15" s="103"/>
      <c r="G15" s="103"/>
    </row>
    <row r="16" spans="2:7" ht="15.95" customHeight="1" x14ac:dyDescent="0.25">
      <c r="B16" s="236" t="s">
        <v>107</v>
      </c>
      <c r="C16" s="236"/>
      <c r="D16" s="236"/>
      <c r="E16" s="236"/>
      <c r="F16" s="236"/>
      <c r="G16" s="236"/>
    </row>
    <row r="17" spans="2:7" ht="32.1" customHeight="1" x14ac:dyDescent="0.25">
      <c r="B17" s="229" t="s">
        <v>49</v>
      </c>
      <c r="C17" s="230"/>
      <c r="D17" s="142" t="s">
        <v>95</v>
      </c>
      <c r="E17" s="142" t="s">
        <v>116</v>
      </c>
      <c r="F17" s="241" t="s">
        <v>131</v>
      </c>
      <c r="G17" s="241"/>
    </row>
    <row r="18" spans="2:7" ht="32.1" customHeight="1" x14ac:dyDescent="0.25">
      <c r="B18" s="231" t="s">
        <v>112</v>
      </c>
      <c r="C18" s="232"/>
      <c r="D18" s="107">
        <f>výpočet!M14</f>
        <v>0.45</v>
      </c>
      <c r="E18" s="105" t="str">
        <f>IF(výpočet!C14=0,"",výpočet!C14)</f>
        <v/>
      </c>
      <c r="F18" s="235" t="str">
        <f>IF(E18="","",D18*E18)</f>
        <v/>
      </c>
      <c r="G18" s="235"/>
    </row>
    <row r="19" spans="2:7" ht="17.25" customHeight="1" x14ac:dyDescent="0.25">
      <c r="B19" s="231" t="s">
        <v>92</v>
      </c>
      <c r="C19" s="232"/>
      <c r="D19" s="107">
        <f>výpočet!M15</f>
        <v>0.25</v>
      </c>
      <c r="E19" s="105" t="str">
        <f>IF(výpočet!C15=0,"",výpočet!C15)</f>
        <v/>
      </c>
      <c r="F19" s="235" t="str">
        <f>IF(E19="","",D19*E19)</f>
        <v/>
      </c>
      <c r="G19" s="235"/>
    </row>
    <row r="20" spans="2:7" ht="17.25" customHeight="1" x14ac:dyDescent="0.25">
      <c r="B20" s="231" t="s">
        <v>51</v>
      </c>
      <c r="C20" s="232"/>
      <c r="D20" s="107">
        <f>výpočet!M16</f>
        <v>-0.9</v>
      </c>
      <c r="E20" s="105" t="str">
        <f>IF(výpočet!C16=0,"",výpočet!C16)</f>
        <v/>
      </c>
      <c r="F20" s="235" t="str">
        <f>IF(E20="","",D20*E20)</f>
        <v/>
      </c>
      <c r="G20" s="235"/>
    </row>
    <row r="21" spans="2:7" ht="17.25" customHeight="1" x14ac:dyDescent="0.25">
      <c r="B21" s="231" t="s">
        <v>93</v>
      </c>
      <c r="C21" s="232"/>
      <c r="D21" s="107">
        <f>výpočet!M17</f>
        <v>-0.7</v>
      </c>
      <c r="E21" s="105" t="str">
        <f>IF(výpočet!C17=0,"",výpočet!C17)</f>
        <v/>
      </c>
      <c r="F21" s="235" t="str">
        <f>IF(E21="","",D21*E21)</f>
        <v/>
      </c>
      <c r="G21" s="235"/>
    </row>
    <row r="22" spans="2:7" ht="15.95" customHeight="1" x14ac:dyDescent="0.25">
      <c r="B22" s="229" t="s">
        <v>52</v>
      </c>
      <c r="C22" s="233"/>
      <c r="D22" s="233"/>
      <c r="E22" s="230"/>
      <c r="F22" s="237" t="str">
        <f>IF(E9="","",SUM(F18:G21))</f>
        <v/>
      </c>
      <c r="G22" s="237"/>
    </row>
    <row r="23" spans="2:7" ht="15.95" customHeight="1" x14ac:dyDescent="0.25">
      <c r="B23" s="231" t="s">
        <v>53</v>
      </c>
      <c r="C23" s="234"/>
      <c r="D23" s="234"/>
      <c r="E23" s="232"/>
      <c r="F23" s="235" t="str">
        <f>F14</f>
        <v/>
      </c>
      <c r="G23" s="235"/>
    </row>
    <row r="24" spans="2:7" ht="15.95" customHeight="1" x14ac:dyDescent="0.25">
      <c r="B24" s="229" t="s">
        <v>54</v>
      </c>
      <c r="C24" s="233"/>
      <c r="D24" s="233"/>
      <c r="E24" s="230"/>
      <c r="F24" s="237" t="str">
        <f>IF(E9="","",F22+F23)</f>
        <v/>
      </c>
      <c r="G24" s="237"/>
    </row>
    <row r="25" spans="2:7" ht="6" customHeight="1" x14ac:dyDescent="0.25">
      <c r="B25" s="103"/>
      <c r="C25" s="103"/>
      <c r="D25" s="103"/>
      <c r="E25" s="103"/>
      <c r="F25" s="103"/>
      <c r="G25" s="103"/>
    </row>
    <row r="26" spans="2:7" ht="15.95" customHeight="1" x14ac:dyDescent="0.25">
      <c r="B26" s="236" t="s">
        <v>55</v>
      </c>
      <c r="C26" s="236"/>
      <c r="D26" s="236"/>
      <c r="E26" s="236"/>
      <c r="F26" s="236"/>
      <c r="G26" s="236"/>
    </row>
    <row r="27" spans="2:7" ht="32.1" customHeight="1" x14ac:dyDescent="0.25">
      <c r="B27" s="229" t="s">
        <v>56</v>
      </c>
      <c r="C27" s="230"/>
      <c r="D27" s="142" t="s">
        <v>59</v>
      </c>
      <c r="E27" s="142" t="s">
        <v>95</v>
      </c>
      <c r="F27" s="142" t="s">
        <v>57</v>
      </c>
      <c r="G27" s="142" t="s">
        <v>50</v>
      </c>
    </row>
    <row r="28" spans="2:7" ht="15.95" customHeight="1" x14ac:dyDescent="0.25">
      <c r="B28" s="231" t="s">
        <v>13</v>
      </c>
      <c r="C28" s="232"/>
      <c r="D28" s="108">
        <f>výpočet!N21</f>
        <v>30</v>
      </c>
      <c r="E28" s="105">
        <f>výpočet!M21</f>
        <v>1</v>
      </c>
      <c r="F28" s="104" t="str">
        <f>IF(výpočet!C21=0,"",výpočet!C21)</f>
        <v/>
      </c>
      <c r="G28" s="137" t="str">
        <f>IF(F28="","",F28/D28*E28)</f>
        <v/>
      </c>
    </row>
    <row r="29" spans="2:7" ht="15.95" customHeight="1" x14ac:dyDescent="0.25">
      <c r="B29" s="231" t="s">
        <v>12</v>
      </c>
      <c r="C29" s="232"/>
      <c r="D29" s="108">
        <f>výpočet!N22</f>
        <v>25</v>
      </c>
      <c r="E29" s="105">
        <f>výpočet!M22</f>
        <v>0.75</v>
      </c>
      <c r="F29" s="104" t="str">
        <f>IF(výpočet!C22=0,"",výpočet!C22)</f>
        <v/>
      </c>
      <c r="G29" s="137" t="str">
        <f t="shared" ref="G29:G43" si="0">IF(F29="","",F29/D29*E29)</f>
        <v/>
      </c>
    </row>
    <row r="30" spans="2:7" ht="15.95" customHeight="1" x14ac:dyDescent="0.25">
      <c r="B30" s="231" t="s">
        <v>19</v>
      </c>
      <c r="C30" s="232"/>
      <c r="D30" s="108">
        <f>výpočet!N23</f>
        <v>15</v>
      </c>
      <c r="E30" s="105">
        <f>výpočet!M23</f>
        <v>1</v>
      </c>
      <c r="F30" s="104" t="str">
        <f>IF(výpočet!C23=0,"",výpočet!C23)</f>
        <v/>
      </c>
      <c r="G30" s="137" t="str">
        <f t="shared" si="0"/>
        <v/>
      </c>
    </row>
    <row r="31" spans="2:7" ht="15.95" customHeight="1" x14ac:dyDescent="0.25">
      <c r="B31" s="231" t="s">
        <v>132</v>
      </c>
      <c r="C31" s="232"/>
      <c r="D31" s="108">
        <f>výpočet!N24</f>
        <v>15</v>
      </c>
      <c r="E31" s="105">
        <f>výpočet!M24</f>
        <v>0.65</v>
      </c>
      <c r="F31" s="104" t="str">
        <f>IF(výpočet!C24=0,"",výpočet!C24)</f>
        <v/>
      </c>
      <c r="G31" s="137" t="str">
        <f t="shared" si="0"/>
        <v/>
      </c>
    </row>
    <row r="32" spans="2:7" ht="15.95" customHeight="1" x14ac:dyDescent="0.25">
      <c r="B32" s="231" t="s">
        <v>60</v>
      </c>
      <c r="C32" s="232"/>
      <c r="D32" s="108">
        <f>výpočet!N25</f>
        <v>5</v>
      </c>
      <c r="E32" s="105">
        <f>výpočet!M25</f>
        <v>0.4</v>
      </c>
      <c r="F32" s="104" t="str">
        <f>IF(výpočet!C25=0,"",výpočet!C25)</f>
        <v/>
      </c>
      <c r="G32" s="137" t="str">
        <f t="shared" si="0"/>
        <v/>
      </c>
    </row>
    <row r="33" spans="2:7" ht="15.95" customHeight="1" x14ac:dyDescent="0.25">
      <c r="B33" s="231" t="s">
        <v>3</v>
      </c>
      <c r="C33" s="232"/>
      <c r="D33" s="108">
        <f>výpočet!N26</f>
        <v>20</v>
      </c>
      <c r="E33" s="105">
        <f>výpočet!M26</f>
        <v>0.18</v>
      </c>
      <c r="F33" s="104" t="str">
        <f>IF(výpočet!C26=0,"",výpočet!C26)</f>
        <v/>
      </c>
      <c r="G33" s="137" t="str">
        <f t="shared" si="0"/>
        <v/>
      </c>
    </row>
    <row r="34" spans="2:7" ht="15.95" customHeight="1" x14ac:dyDescent="0.25">
      <c r="B34" s="231" t="s">
        <v>4</v>
      </c>
      <c r="C34" s="232"/>
      <c r="D34" s="108">
        <f>výpočet!N27</f>
        <v>20</v>
      </c>
      <c r="E34" s="105">
        <f>výpočet!M27</f>
        <v>0.15</v>
      </c>
      <c r="F34" s="104" t="str">
        <f>IF(výpočet!C27=0,"",výpočet!C27)</f>
        <v/>
      </c>
      <c r="G34" s="137" t="str">
        <f t="shared" si="0"/>
        <v/>
      </c>
    </row>
    <row r="35" spans="2:7" ht="15.95" customHeight="1" x14ac:dyDescent="0.25">
      <c r="B35" s="231" t="s">
        <v>5</v>
      </c>
      <c r="C35" s="232"/>
      <c r="D35" s="108">
        <f>výpočet!N28</f>
        <v>20</v>
      </c>
      <c r="E35" s="105">
        <f>výpočet!M28</f>
        <v>0.1</v>
      </c>
      <c r="F35" s="104" t="str">
        <f>IF(výpočet!C28=0,"",výpočet!C28)</f>
        <v/>
      </c>
      <c r="G35" s="137" t="str">
        <f t="shared" si="0"/>
        <v/>
      </c>
    </row>
    <row r="36" spans="2:7" ht="15.95" customHeight="1" x14ac:dyDescent="0.25">
      <c r="B36" s="231" t="s">
        <v>6</v>
      </c>
      <c r="C36" s="232"/>
      <c r="D36" s="108">
        <f>výpočet!N29</f>
        <v>20</v>
      </c>
      <c r="E36" s="105">
        <f>výpočet!M29</f>
        <v>7.0000000000000007E-2</v>
      </c>
      <c r="F36" s="104" t="str">
        <f>IF(výpočet!C29=0,"",výpočet!C29)</f>
        <v/>
      </c>
      <c r="G36" s="137" t="str">
        <f t="shared" si="0"/>
        <v/>
      </c>
    </row>
    <row r="37" spans="2:7" ht="15.95" customHeight="1" x14ac:dyDescent="0.25">
      <c r="B37" s="231" t="s">
        <v>7</v>
      </c>
      <c r="C37" s="232"/>
      <c r="D37" s="108">
        <f>výpočet!N30</f>
        <v>20</v>
      </c>
      <c r="E37" s="105">
        <f>výpočet!M30</f>
        <v>0.15</v>
      </c>
      <c r="F37" s="104" t="str">
        <f>IF(výpočet!C30=0,"",výpočet!C30)</f>
        <v/>
      </c>
      <c r="G37" s="137" t="str">
        <f t="shared" si="0"/>
        <v/>
      </c>
    </row>
    <row r="38" spans="2:7" ht="15.95" customHeight="1" x14ac:dyDescent="0.25">
      <c r="B38" s="231" t="s">
        <v>8</v>
      </c>
      <c r="C38" s="232"/>
      <c r="D38" s="108">
        <f>výpočet!N31</f>
        <v>20</v>
      </c>
      <c r="E38" s="105">
        <f>výpočet!M31</f>
        <v>0.1</v>
      </c>
      <c r="F38" s="104" t="str">
        <f>IF(výpočet!C31=0,"",výpočet!C31)</f>
        <v/>
      </c>
      <c r="G38" s="137" t="str">
        <f t="shared" si="0"/>
        <v/>
      </c>
    </row>
    <row r="39" spans="2:7" ht="15.95" customHeight="1" x14ac:dyDescent="0.25">
      <c r="B39" s="231" t="s">
        <v>9</v>
      </c>
      <c r="C39" s="232"/>
      <c r="D39" s="108">
        <f>výpočet!N32</f>
        <v>5</v>
      </c>
      <c r="E39" s="105">
        <f>výpočet!M32</f>
        <v>0.15</v>
      </c>
      <c r="F39" s="104" t="str">
        <f>IF(výpočet!C32=0,"",výpočet!C32)</f>
        <v/>
      </c>
      <c r="G39" s="137" t="str">
        <f t="shared" si="0"/>
        <v/>
      </c>
    </row>
    <row r="40" spans="2:7" ht="15.95" customHeight="1" x14ac:dyDescent="0.25">
      <c r="B40" s="231" t="s">
        <v>10</v>
      </c>
      <c r="C40" s="232"/>
      <c r="D40" s="108">
        <f>výpočet!N33</f>
        <v>20</v>
      </c>
      <c r="E40" s="105">
        <f>výpočet!M33</f>
        <v>0.1</v>
      </c>
      <c r="F40" s="104" t="str">
        <f>IF(výpočet!C33=0,"",výpočet!C33)</f>
        <v/>
      </c>
      <c r="G40" s="137" t="str">
        <f t="shared" si="0"/>
        <v/>
      </c>
    </row>
    <row r="41" spans="2:7" ht="15.95" customHeight="1" x14ac:dyDescent="0.25">
      <c r="B41" s="231" t="s">
        <v>0</v>
      </c>
      <c r="C41" s="232"/>
      <c r="D41" s="108">
        <f>výpočet!N34</f>
        <v>5</v>
      </c>
      <c r="E41" s="105">
        <f>výpočet!M34</f>
        <v>0.3</v>
      </c>
      <c r="F41" s="104" t="str">
        <f>IF(výpočet!C34=0,"",výpočet!C34)</f>
        <v/>
      </c>
      <c r="G41" s="137" t="str">
        <f t="shared" si="0"/>
        <v/>
      </c>
    </row>
    <row r="42" spans="2:7" ht="15.95" customHeight="1" x14ac:dyDescent="0.25">
      <c r="B42" s="231" t="s">
        <v>1</v>
      </c>
      <c r="C42" s="232"/>
      <c r="D42" s="108">
        <f>výpočet!N35</f>
        <v>5</v>
      </c>
      <c r="E42" s="105">
        <f>výpočet!M35</f>
        <v>0.17</v>
      </c>
      <c r="F42" s="104" t="str">
        <f>IF(výpočet!C35=0,"",výpočet!C35)</f>
        <v/>
      </c>
      <c r="G42" s="137" t="str">
        <f t="shared" si="0"/>
        <v/>
      </c>
    </row>
    <row r="43" spans="2:7" ht="15.95" customHeight="1" x14ac:dyDescent="0.25">
      <c r="B43" s="231" t="s">
        <v>2</v>
      </c>
      <c r="C43" s="232"/>
      <c r="D43" s="108">
        <f>výpočet!N36</f>
        <v>5</v>
      </c>
      <c r="E43" s="105">
        <f>výpočet!M36</f>
        <v>0.13</v>
      </c>
      <c r="F43" s="104" t="str">
        <f>IF(výpočet!C36=0,"",výpočet!C36)</f>
        <v/>
      </c>
      <c r="G43" s="137" t="str">
        <f t="shared" si="0"/>
        <v/>
      </c>
    </row>
    <row r="44" spans="2:7" ht="15.95" customHeight="1" x14ac:dyDescent="0.25">
      <c r="B44" s="229" t="s">
        <v>58</v>
      </c>
      <c r="C44" s="233"/>
      <c r="D44" s="233"/>
      <c r="E44" s="233"/>
      <c r="F44" s="230"/>
      <c r="G44" s="138" t="str">
        <f>IF(E9="","",SUM(G28:G43))</f>
        <v/>
      </c>
    </row>
    <row r="45" spans="2:7" ht="10.7" customHeight="1" x14ac:dyDescent="0.25">
      <c r="B45" s="103"/>
      <c r="C45" s="103"/>
      <c r="D45" s="103"/>
      <c r="E45" s="103"/>
      <c r="F45" s="103"/>
      <c r="G45" s="103"/>
    </row>
    <row r="46" spans="2:7" ht="15.95" customHeight="1" x14ac:dyDescent="0.25">
      <c r="B46" s="236" t="s">
        <v>61</v>
      </c>
      <c r="C46" s="236"/>
      <c r="D46" s="236"/>
      <c r="E46" s="236"/>
      <c r="F46" s="236"/>
      <c r="G46" s="236"/>
    </row>
    <row r="47" spans="2:7" ht="31.35" customHeight="1" x14ac:dyDescent="0.25">
      <c r="B47" s="249" t="s">
        <v>62</v>
      </c>
      <c r="C47" s="249"/>
      <c r="D47" s="249"/>
      <c r="E47" s="142" t="s">
        <v>95</v>
      </c>
      <c r="F47" s="142" t="s">
        <v>116</v>
      </c>
      <c r="G47" s="142" t="s">
        <v>50</v>
      </c>
    </row>
    <row r="48" spans="2:7" ht="59.25" customHeight="1" x14ac:dyDescent="0.25">
      <c r="B48" s="231" t="s">
        <v>165</v>
      </c>
      <c r="C48" s="234"/>
      <c r="D48" s="232"/>
      <c r="E48" s="105">
        <f>výpočet!M40</f>
        <v>0.5</v>
      </c>
      <c r="F48" s="137" t="str">
        <f>IF(výpočet!C40=0,"",výpočet!C40)</f>
        <v/>
      </c>
      <c r="G48" s="137" t="str">
        <f>IF(F48="","",E48*F48)</f>
        <v/>
      </c>
    </row>
    <row r="49" spans="2:7" ht="27.6" customHeight="1" x14ac:dyDescent="0.25">
      <c r="B49" s="250" t="s">
        <v>96</v>
      </c>
      <c r="C49" s="250"/>
      <c r="D49" s="250"/>
      <c r="E49" s="105">
        <f>výpočet!M41</f>
        <v>0.1</v>
      </c>
      <c r="F49" s="137" t="str">
        <f>IF(výpočet!C41=0,"",výpočet!C41)</f>
        <v/>
      </c>
      <c r="G49" s="137" t="str">
        <f t="shared" ref="G49:G58" si="1">IF(F49="","",E49*F49)</f>
        <v/>
      </c>
    </row>
    <row r="50" spans="2:7" ht="15.95" customHeight="1" x14ac:dyDescent="0.25">
      <c r="B50" s="250" t="s">
        <v>79</v>
      </c>
      <c r="C50" s="250"/>
      <c r="D50" s="250"/>
      <c r="E50" s="105">
        <f>výpočet!M42</f>
        <v>0.25</v>
      </c>
      <c r="F50" s="137" t="str">
        <f>IF(výpočet!C42=0,"",výpočet!C42)</f>
        <v/>
      </c>
      <c r="G50" s="137" t="str">
        <f t="shared" si="1"/>
        <v/>
      </c>
    </row>
    <row r="51" spans="2:7" ht="15.95" customHeight="1" x14ac:dyDescent="0.25">
      <c r="B51" s="250" t="s">
        <v>16</v>
      </c>
      <c r="C51" s="250"/>
      <c r="D51" s="250"/>
      <c r="E51" s="105">
        <f>výpočet!M43</f>
        <v>0.2</v>
      </c>
      <c r="F51" s="137" t="str">
        <f>IF(výpočet!C43=0,"",výpočet!C43)</f>
        <v/>
      </c>
      <c r="G51" s="137" t="str">
        <f t="shared" si="1"/>
        <v/>
      </c>
    </row>
    <row r="52" spans="2:7" ht="15.95" customHeight="1" x14ac:dyDescent="0.25">
      <c r="B52" s="250" t="s">
        <v>80</v>
      </c>
      <c r="C52" s="250"/>
      <c r="D52" s="250"/>
      <c r="E52" s="105">
        <f>výpočet!M44</f>
        <v>0.2</v>
      </c>
      <c r="F52" s="137" t="str">
        <f>IF(výpočet!C44=0,"",výpočet!C44)</f>
        <v/>
      </c>
      <c r="G52" s="137" t="str">
        <f t="shared" si="1"/>
        <v/>
      </c>
    </row>
    <row r="53" spans="2:7" ht="15.95" customHeight="1" x14ac:dyDescent="0.25">
      <c r="B53" s="250" t="s">
        <v>166</v>
      </c>
      <c r="C53" s="250"/>
      <c r="D53" s="250"/>
      <c r="E53" s="105">
        <f>výpočet!M45</f>
        <v>0.35</v>
      </c>
      <c r="F53" s="137" t="str">
        <f>IF(výpočet!C45=0,"",výpočet!C45)</f>
        <v/>
      </c>
      <c r="G53" s="137" t="str">
        <f t="shared" si="1"/>
        <v/>
      </c>
    </row>
    <row r="54" spans="2:7" ht="15.95" customHeight="1" x14ac:dyDescent="0.25">
      <c r="B54" s="250" t="s">
        <v>17</v>
      </c>
      <c r="C54" s="250"/>
      <c r="D54" s="250"/>
      <c r="E54" s="105">
        <f>výpočet!M46</f>
        <v>0.2</v>
      </c>
      <c r="F54" s="137" t="str">
        <f>IF(výpočet!C46=0,"",výpočet!C46)</f>
        <v/>
      </c>
      <c r="G54" s="137" t="str">
        <f t="shared" si="1"/>
        <v/>
      </c>
    </row>
    <row r="55" spans="2:7" ht="15.95" customHeight="1" x14ac:dyDescent="0.25">
      <c r="B55" s="250" t="s">
        <v>82</v>
      </c>
      <c r="C55" s="250"/>
      <c r="D55" s="250"/>
      <c r="E55" s="105">
        <f>výpočet!M48</f>
        <v>0.45</v>
      </c>
      <c r="F55" s="137" t="str">
        <f>IF(výpočet!C48=0,"",výpočet!C48)</f>
        <v/>
      </c>
      <c r="G55" s="137" t="str">
        <f t="shared" si="1"/>
        <v/>
      </c>
    </row>
    <row r="56" spans="2:7" ht="15.95" customHeight="1" x14ac:dyDescent="0.25">
      <c r="B56" s="250" t="s">
        <v>83</v>
      </c>
      <c r="C56" s="250"/>
      <c r="D56" s="250"/>
      <c r="E56" s="105">
        <f>výpočet!M49</f>
        <v>0.1</v>
      </c>
      <c r="F56" s="137" t="str">
        <f>IF(výpočet!C47+výpočet!C49=0,"",výpočet!C47+výpočet!C49)</f>
        <v/>
      </c>
      <c r="G56" s="137" t="str">
        <f t="shared" si="1"/>
        <v/>
      </c>
    </row>
    <row r="57" spans="2:7" ht="15.95" customHeight="1" x14ac:dyDescent="0.25">
      <c r="B57" s="250" t="s">
        <v>26</v>
      </c>
      <c r="C57" s="250"/>
      <c r="D57" s="250"/>
      <c r="E57" s="105">
        <f>výpočet!M50</f>
        <v>0.2</v>
      </c>
      <c r="F57" s="137" t="str">
        <f>IF(výpočet!C50=0,"",výpočet!C50)</f>
        <v/>
      </c>
      <c r="G57" s="137" t="str">
        <f t="shared" si="1"/>
        <v/>
      </c>
    </row>
    <row r="58" spans="2:7" ht="15.95" customHeight="1" x14ac:dyDescent="0.25">
      <c r="B58" s="250" t="s">
        <v>63</v>
      </c>
      <c r="C58" s="250"/>
      <c r="D58" s="250"/>
      <c r="E58" s="105">
        <f>výpočet!M51</f>
        <v>0.2</v>
      </c>
      <c r="F58" s="137" t="str">
        <f>IF(výpočet!C51=0,"",výpočet!C51)</f>
        <v/>
      </c>
      <c r="G58" s="137" t="str">
        <f t="shared" si="1"/>
        <v/>
      </c>
    </row>
    <row r="59" spans="2:7" ht="15.95" customHeight="1" x14ac:dyDescent="0.25">
      <c r="B59" s="229" t="s">
        <v>58</v>
      </c>
      <c r="C59" s="233"/>
      <c r="D59" s="233"/>
      <c r="E59" s="233"/>
      <c r="F59" s="230"/>
      <c r="G59" s="138" t="str">
        <f>IF(E9="","",SUM(G48:G58))</f>
        <v/>
      </c>
    </row>
    <row r="60" spans="2:7" ht="10.35" customHeight="1" x14ac:dyDescent="0.25">
      <c r="B60" s="103"/>
      <c r="C60" s="103"/>
      <c r="D60" s="103"/>
      <c r="E60" s="103"/>
      <c r="F60" s="103"/>
      <c r="G60" s="103"/>
    </row>
    <row r="61" spans="2:7" ht="15.95" customHeight="1" x14ac:dyDescent="0.25">
      <c r="B61" s="236" t="s">
        <v>133</v>
      </c>
      <c r="C61" s="236"/>
      <c r="D61" s="236"/>
      <c r="E61" s="236"/>
      <c r="F61" s="236"/>
      <c r="G61" s="236"/>
    </row>
    <row r="62" spans="2:7" ht="42" customHeight="1" x14ac:dyDescent="0.25">
      <c r="B62" s="249" t="s">
        <v>64</v>
      </c>
      <c r="C62" s="249"/>
      <c r="D62" s="249"/>
      <c r="E62" s="249"/>
      <c r="F62" s="142" t="s">
        <v>50</v>
      </c>
      <c r="G62" s="160" t="s">
        <v>106</v>
      </c>
    </row>
    <row r="63" spans="2:7" ht="15.95" customHeight="1" x14ac:dyDescent="0.25">
      <c r="B63" s="250" t="s">
        <v>108</v>
      </c>
      <c r="C63" s="250"/>
      <c r="D63" s="250"/>
      <c r="E63" s="250"/>
      <c r="F63" s="137" t="str">
        <f>IF(E9="","",G44+G59)</f>
        <v/>
      </c>
      <c r="G63" s="142"/>
    </row>
    <row r="64" spans="2:7" ht="15.95" customHeight="1" x14ac:dyDescent="0.25">
      <c r="B64" s="250" t="s">
        <v>97</v>
      </c>
      <c r="C64" s="250"/>
      <c r="D64" s="250"/>
      <c r="E64" s="250"/>
      <c r="F64" s="137" t="str">
        <f>F24</f>
        <v/>
      </c>
      <c r="G64" s="142"/>
    </row>
    <row r="65" spans="2:7" ht="28.7" customHeight="1" x14ac:dyDescent="0.25">
      <c r="B65" s="239" t="s">
        <v>136</v>
      </c>
      <c r="C65" s="239"/>
      <c r="D65" s="239"/>
      <c r="E65" s="239"/>
      <c r="F65" s="138" t="str">
        <f>IF(E9="","",F63-F64)</f>
        <v/>
      </c>
      <c r="G65" s="123" t="str">
        <f>IF(E9="","",IF(F66="podmínka splněna","",výpočet!F8*-1))</f>
        <v/>
      </c>
    </row>
    <row r="66" spans="2:7" ht="30" customHeight="1" x14ac:dyDescent="0.25">
      <c r="F66" s="185" t="str">
        <f>výpočet!G9</f>
        <v/>
      </c>
    </row>
    <row r="67" spans="2:7" ht="14.1" customHeight="1" x14ac:dyDescent="0.25">
      <c r="B67" s="83" t="s">
        <v>142</v>
      </c>
    </row>
    <row r="68" spans="2:7" ht="13.35" customHeight="1" x14ac:dyDescent="0.25">
      <c r="B68" s="238" t="s">
        <v>167</v>
      </c>
      <c r="C68" s="238"/>
      <c r="D68" s="238"/>
      <c r="E68" s="238"/>
      <c r="F68" s="238"/>
      <c r="G68" s="238"/>
    </row>
    <row r="69" spans="2:7" ht="13.35" customHeight="1" x14ac:dyDescent="0.25">
      <c r="B69" s="228"/>
      <c r="C69" s="228"/>
      <c r="D69" s="228"/>
      <c r="E69" s="228"/>
      <c r="F69" s="228"/>
      <c r="G69" s="228"/>
    </row>
  </sheetData>
  <sheetProtection algorithmName="SHA-512" hashValue="bJCBpw/8c+sD0ph8Kwbj+4kb+FBqmjInDiquQ6PZ0/UjfepgpUlsdbudd45NmMX588yFvNZClQny0Jaxd53CTA==" saltValue="P2vHB878doueqi4tsAvoaQ==" spinCount="100000" sheet="1" formatCells="0" formatColumns="0" formatRows="0"/>
  <mergeCells count="74">
    <mergeCell ref="B64:E64"/>
    <mergeCell ref="B46:G46"/>
    <mergeCell ref="B53:D53"/>
    <mergeCell ref="B54:D54"/>
    <mergeCell ref="B55:D55"/>
    <mergeCell ref="B56:D56"/>
    <mergeCell ref="B57:D57"/>
    <mergeCell ref="B58:D58"/>
    <mergeCell ref="B63:E63"/>
    <mergeCell ref="B62:E62"/>
    <mergeCell ref="B10:D10"/>
    <mergeCell ref="B11:D11"/>
    <mergeCell ref="B12:D12"/>
    <mergeCell ref="B13:E13"/>
    <mergeCell ref="B61:G61"/>
    <mergeCell ref="B44:F44"/>
    <mergeCell ref="B59:F59"/>
    <mergeCell ref="B21:C21"/>
    <mergeCell ref="F22:G22"/>
    <mergeCell ref="F23:G23"/>
    <mergeCell ref="B47:D47"/>
    <mergeCell ref="B48:D48"/>
    <mergeCell ref="B49:D49"/>
    <mergeCell ref="B50:D50"/>
    <mergeCell ref="B51:D51"/>
    <mergeCell ref="B52:D52"/>
    <mergeCell ref="B1:G1"/>
    <mergeCell ref="F17:G17"/>
    <mergeCell ref="F18:G18"/>
    <mergeCell ref="F19:G19"/>
    <mergeCell ref="F8:G9"/>
    <mergeCell ref="F10:G10"/>
    <mergeCell ref="F11:G11"/>
    <mergeCell ref="F12:G12"/>
    <mergeCell ref="B3:G3"/>
    <mergeCell ref="B7:G7"/>
    <mergeCell ref="B16:G16"/>
    <mergeCell ref="B9:D9"/>
    <mergeCell ref="C5:G5"/>
    <mergeCell ref="F13:G13"/>
    <mergeCell ref="F14:G14"/>
    <mergeCell ref="B8:D8"/>
    <mergeCell ref="B68:G68"/>
    <mergeCell ref="B34:C34"/>
    <mergeCell ref="B35:C35"/>
    <mergeCell ref="B36:C36"/>
    <mergeCell ref="B14:E14"/>
    <mergeCell ref="B37:C37"/>
    <mergeCell ref="B38:C38"/>
    <mergeCell ref="B39:C39"/>
    <mergeCell ref="B27:C27"/>
    <mergeCell ref="B28:C28"/>
    <mergeCell ref="B29:C29"/>
    <mergeCell ref="B30:C30"/>
    <mergeCell ref="B65:E65"/>
    <mergeCell ref="B31:C31"/>
    <mergeCell ref="B32:C32"/>
    <mergeCell ref="B33:C33"/>
    <mergeCell ref="B69:G69"/>
    <mergeCell ref="B17:C17"/>
    <mergeCell ref="B18:C18"/>
    <mergeCell ref="B19:C19"/>
    <mergeCell ref="B20:C20"/>
    <mergeCell ref="B22:E22"/>
    <mergeCell ref="B23:E23"/>
    <mergeCell ref="B24:E24"/>
    <mergeCell ref="F20:G20"/>
    <mergeCell ref="F21:G21"/>
    <mergeCell ref="B40:C40"/>
    <mergeCell ref="B41:C41"/>
    <mergeCell ref="B42:C42"/>
    <mergeCell ref="B43:C43"/>
    <mergeCell ref="B26:G26"/>
    <mergeCell ref="F24:G24"/>
  </mergeCells>
  <conditionalFormatting sqref="F66">
    <cfRule type="containsText" dxfId="6" priority="1" operator="containsText" text="neposkytne">
      <formula>NOT(ISERROR(SEARCH("neposkytne",F66)))</formula>
    </cfRule>
    <cfRule type="containsText" dxfId="5" priority="2" operator="containsText" text="snížení">
      <formula>NOT(ISERROR(SEARCH("snížení",F66)))</formula>
    </cfRule>
    <cfRule type="containsText" dxfId="4" priority="3" operator="containsText" text="nesplněna">
      <formula>NOT(ISERROR(SEARCH("nesplněna",F66)))</formula>
    </cfRule>
    <cfRule type="containsText" dxfId="3" priority="5" operator="containsText" text="požadavek splněn">
      <formula>NOT(ISERROR(SEARCH("požadavek splněn",F66)))</formula>
    </cfRule>
  </conditionalFormatting>
  <conditionalFormatting sqref="F66:G66">
    <cfRule type="containsText" dxfId="2" priority="4" operator="containsText" text="splněna">
      <formula>NOT(ISERROR(SEARCH("splněna",F66)))</formula>
    </cfRule>
  </conditionalFormatting>
  <printOptions horizontalCentered="1" verticalCentered="1"/>
  <pageMargins left="0.62992125984251968" right="0.62992125984251968" top="0.74803149606299213" bottom="0.74803149606299213" header="0.31496062992125984" footer="0.31496062992125984"/>
  <pageSetup paperSize="9" scale="61" orientation="portrait" horizontalDpi="1200" r:id="rId1"/>
  <rowBreaks count="2" manualBreakCount="2">
    <brk id="25" max="16383" man="1"/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B1:K35"/>
  <sheetViews>
    <sheetView zoomScaleNormal="100" workbookViewId="0">
      <selection activeCell="B6" sqref="B6"/>
    </sheetView>
  </sheetViews>
  <sheetFormatPr defaultRowHeight="15" x14ac:dyDescent="0.25"/>
  <cols>
    <col min="1" max="1" width="1.5703125" customWidth="1"/>
    <col min="2" max="2" width="9.42578125" customWidth="1"/>
    <col min="3" max="3" width="10.42578125" customWidth="1"/>
    <col min="4" max="4" width="9.140625" bestFit="1" customWidth="1"/>
    <col min="5" max="6" width="11.42578125" customWidth="1"/>
    <col min="7" max="9" width="13.5703125" customWidth="1"/>
    <col min="10" max="11" width="19.140625" customWidth="1"/>
  </cols>
  <sheetData>
    <row r="1" spans="2:11" ht="18" customHeight="1" x14ac:dyDescent="0.25">
      <c r="B1" s="120" t="s">
        <v>180</v>
      </c>
    </row>
    <row r="2" spans="2:11" ht="19.5" customHeight="1" x14ac:dyDescent="0.25">
      <c r="B2" s="249" t="s">
        <v>41</v>
      </c>
      <c r="C2" s="249"/>
      <c r="D2" s="250" t="str">
        <f>IF(výpočet!C2=0,"",výpočet!C2)</f>
        <v/>
      </c>
      <c r="E2" s="250"/>
      <c r="F2" s="250"/>
      <c r="G2" s="250"/>
      <c r="H2" s="142" t="s">
        <v>159</v>
      </c>
      <c r="I2" s="184" t="str">
        <f>IF(výpočet!F2=0,"",výpočet!F2)</f>
        <v/>
      </c>
      <c r="J2" s="142" t="s">
        <v>156</v>
      </c>
      <c r="K2" s="184" t="str">
        <f>IF(výpočet!G2=0,"",výpočet!G2)</f>
        <v/>
      </c>
    </row>
    <row r="3" spans="2:11" ht="18.75" customHeight="1" x14ac:dyDescent="0.25">
      <c r="B3" t="s">
        <v>141</v>
      </c>
    </row>
    <row r="4" spans="2:11" ht="15" customHeight="1" x14ac:dyDescent="0.25">
      <c r="B4" s="256" t="s">
        <v>65</v>
      </c>
      <c r="C4" s="251" t="s">
        <v>66</v>
      </c>
      <c r="D4" s="251" t="s">
        <v>134</v>
      </c>
      <c r="E4" s="251" t="s">
        <v>67</v>
      </c>
      <c r="F4" s="251" t="s">
        <v>135</v>
      </c>
      <c r="G4" s="253" t="s">
        <v>69</v>
      </c>
      <c r="H4" s="254"/>
      <c r="I4" s="255"/>
      <c r="J4" s="251" t="s">
        <v>77</v>
      </c>
      <c r="K4" s="251" t="s">
        <v>70</v>
      </c>
    </row>
    <row r="5" spans="2:11" ht="34.5" customHeight="1" x14ac:dyDescent="0.25">
      <c r="B5" s="257"/>
      <c r="C5" s="252"/>
      <c r="D5" s="252"/>
      <c r="E5" s="252"/>
      <c r="F5" s="252"/>
      <c r="G5" s="142" t="s">
        <v>71</v>
      </c>
      <c r="H5" s="142" t="s">
        <v>152</v>
      </c>
      <c r="I5" s="142" t="s">
        <v>72</v>
      </c>
      <c r="J5" s="252"/>
      <c r="K5" s="252"/>
    </row>
    <row r="6" spans="2:11" ht="14.1" customHeight="1" x14ac:dyDescent="0.25">
      <c r="B6" s="109"/>
      <c r="C6" s="110"/>
      <c r="D6" s="112"/>
      <c r="E6" s="111"/>
      <c r="F6" s="112"/>
      <c r="G6" s="112"/>
      <c r="H6" s="112"/>
      <c r="I6" s="112"/>
      <c r="J6" s="113"/>
      <c r="K6" s="113"/>
    </row>
    <row r="7" spans="2:11" ht="14.1" customHeight="1" x14ac:dyDescent="0.25">
      <c r="B7" s="109"/>
      <c r="C7" s="110"/>
      <c r="D7" s="112"/>
      <c r="E7" s="111"/>
      <c r="F7" s="112"/>
      <c r="G7" s="112"/>
      <c r="H7" s="112"/>
      <c r="I7" s="112"/>
      <c r="J7" s="113"/>
      <c r="K7" s="113"/>
    </row>
    <row r="8" spans="2:11" ht="14.1" customHeight="1" x14ac:dyDescent="0.25">
      <c r="B8" s="109"/>
      <c r="C8" s="110"/>
      <c r="D8" s="112"/>
      <c r="E8" s="111"/>
      <c r="F8" s="112"/>
      <c r="G8" s="112"/>
      <c r="H8" s="112"/>
      <c r="I8" s="112"/>
      <c r="J8" s="113"/>
      <c r="K8" s="113"/>
    </row>
    <row r="9" spans="2:11" ht="14.1" customHeight="1" x14ac:dyDescent="0.25">
      <c r="B9" s="109"/>
      <c r="C9" s="110"/>
      <c r="D9" s="112"/>
      <c r="E9" s="111"/>
      <c r="F9" s="112"/>
      <c r="G9" s="112"/>
      <c r="H9" s="112"/>
      <c r="I9" s="112"/>
      <c r="J9" s="113"/>
      <c r="K9" s="113"/>
    </row>
    <row r="10" spans="2:11" ht="14.1" customHeight="1" x14ac:dyDescent="0.25">
      <c r="B10" s="109"/>
      <c r="C10" s="110"/>
      <c r="D10" s="112"/>
      <c r="E10" s="111"/>
      <c r="F10" s="112"/>
      <c r="G10" s="112"/>
      <c r="H10" s="112"/>
      <c r="I10" s="112"/>
      <c r="J10" s="113"/>
      <c r="K10" s="113"/>
    </row>
    <row r="11" spans="2:11" ht="14.1" customHeight="1" x14ac:dyDescent="0.25">
      <c r="B11" s="109"/>
      <c r="C11" s="110"/>
      <c r="D11" s="112"/>
      <c r="E11" s="111"/>
      <c r="F11" s="112"/>
      <c r="G11" s="112"/>
      <c r="H11" s="112"/>
      <c r="I11" s="112"/>
      <c r="J11" s="113"/>
      <c r="K11" s="113"/>
    </row>
    <row r="12" spans="2:11" ht="14.1" customHeight="1" x14ac:dyDescent="0.25">
      <c r="B12" s="109"/>
      <c r="C12" s="110"/>
      <c r="D12" s="112"/>
      <c r="E12" s="111"/>
      <c r="F12" s="112"/>
      <c r="G12" s="112"/>
      <c r="H12" s="112"/>
      <c r="I12" s="112"/>
      <c r="J12" s="113"/>
      <c r="K12" s="113"/>
    </row>
    <row r="13" spans="2:11" ht="14.1" customHeight="1" x14ac:dyDescent="0.25">
      <c r="B13" s="109"/>
      <c r="C13" s="110"/>
      <c r="D13" s="112"/>
      <c r="E13" s="111"/>
      <c r="F13" s="112"/>
      <c r="G13" s="112"/>
      <c r="H13" s="112"/>
      <c r="I13" s="112"/>
      <c r="J13" s="113"/>
      <c r="K13" s="113"/>
    </row>
    <row r="14" spans="2:11" ht="14.1" customHeight="1" x14ac:dyDescent="0.25">
      <c r="B14" s="109"/>
      <c r="C14" s="110"/>
      <c r="D14" s="112"/>
      <c r="E14" s="111"/>
      <c r="F14" s="112"/>
      <c r="G14" s="112"/>
      <c r="H14" s="112"/>
      <c r="I14" s="112"/>
      <c r="J14" s="113"/>
      <c r="K14" s="113"/>
    </row>
    <row r="15" spans="2:11" ht="14.1" customHeight="1" x14ac:dyDescent="0.25">
      <c r="B15" s="109"/>
      <c r="C15" s="110"/>
      <c r="D15" s="112"/>
      <c r="E15" s="111"/>
      <c r="F15" s="112"/>
      <c r="G15" s="112"/>
      <c r="H15" s="112"/>
      <c r="I15" s="112"/>
      <c r="J15" s="113"/>
      <c r="K15" s="113"/>
    </row>
    <row r="16" spans="2:11" ht="14.1" customHeight="1" x14ac:dyDescent="0.25">
      <c r="B16" s="109"/>
      <c r="C16" s="110"/>
      <c r="D16" s="112"/>
      <c r="E16" s="111"/>
      <c r="F16" s="112"/>
      <c r="G16" s="112"/>
      <c r="H16" s="112"/>
      <c r="I16" s="112"/>
      <c r="J16" s="113"/>
      <c r="K16" s="113"/>
    </row>
    <row r="17" spans="2:11" ht="14.1" customHeight="1" x14ac:dyDescent="0.25">
      <c r="B17" s="109"/>
      <c r="C17" s="110"/>
      <c r="D17" s="112"/>
      <c r="E17" s="111"/>
      <c r="F17" s="112"/>
      <c r="G17" s="112"/>
      <c r="H17" s="112"/>
      <c r="I17" s="112"/>
      <c r="J17" s="113"/>
      <c r="K17" s="113"/>
    </row>
    <row r="18" spans="2:11" ht="14.1" customHeight="1" x14ac:dyDescent="0.25">
      <c r="B18" s="109"/>
      <c r="C18" s="110"/>
      <c r="D18" s="112"/>
      <c r="E18" s="111"/>
      <c r="F18" s="112"/>
      <c r="G18" s="112"/>
      <c r="H18" s="112"/>
      <c r="I18" s="112"/>
      <c r="J18" s="113"/>
      <c r="K18" s="113"/>
    </row>
    <row r="19" spans="2:11" ht="14.1" customHeight="1" x14ac:dyDescent="0.25">
      <c r="B19" s="109"/>
      <c r="C19" s="110"/>
      <c r="D19" s="112"/>
      <c r="E19" s="111"/>
      <c r="F19" s="112"/>
      <c r="G19" s="112"/>
      <c r="H19" s="112"/>
      <c r="I19" s="112"/>
      <c r="J19" s="113"/>
      <c r="K19" s="113"/>
    </row>
    <row r="20" spans="2:11" ht="14.1" customHeight="1" x14ac:dyDescent="0.25">
      <c r="B20" s="109"/>
      <c r="C20" s="110"/>
      <c r="D20" s="112"/>
      <c r="E20" s="111"/>
      <c r="F20" s="112"/>
      <c r="G20" s="112"/>
      <c r="H20" s="112"/>
      <c r="I20" s="112"/>
      <c r="J20" s="113"/>
      <c r="K20" s="113"/>
    </row>
    <row r="21" spans="2:11" ht="14.1" customHeight="1" x14ac:dyDescent="0.25">
      <c r="B21" s="109"/>
      <c r="C21" s="110"/>
      <c r="D21" s="112"/>
      <c r="E21" s="111"/>
      <c r="F21" s="112"/>
      <c r="G21" s="112"/>
      <c r="H21" s="112"/>
      <c r="I21" s="112"/>
      <c r="J21" s="113"/>
      <c r="K21" s="113"/>
    </row>
    <row r="22" spans="2:11" ht="14.1" customHeight="1" x14ac:dyDescent="0.25">
      <c r="B22" s="109"/>
      <c r="C22" s="110"/>
      <c r="D22" s="112"/>
      <c r="E22" s="111"/>
      <c r="F22" s="112"/>
      <c r="G22" s="112"/>
      <c r="H22" s="112"/>
      <c r="I22" s="112"/>
      <c r="J22" s="113"/>
      <c r="K22" s="113"/>
    </row>
    <row r="23" spans="2:11" ht="14.1" customHeight="1" x14ac:dyDescent="0.25">
      <c r="B23" s="109"/>
      <c r="C23" s="110"/>
      <c r="D23" s="112"/>
      <c r="E23" s="111"/>
      <c r="F23" s="112"/>
      <c r="G23" s="112"/>
      <c r="H23" s="112"/>
      <c r="I23" s="112"/>
      <c r="J23" s="113"/>
      <c r="K23" s="113"/>
    </row>
    <row r="24" spans="2:11" ht="14.1" customHeight="1" x14ac:dyDescent="0.25">
      <c r="B24" s="109"/>
      <c r="C24" s="110"/>
      <c r="D24" s="112"/>
      <c r="E24" s="111"/>
      <c r="F24" s="112"/>
      <c r="G24" s="112"/>
      <c r="H24" s="112"/>
      <c r="I24" s="112"/>
      <c r="J24" s="113"/>
      <c r="K24" s="113"/>
    </row>
    <row r="25" spans="2:11" ht="14.1" customHeight="1" x14ac:dyDescent="0.25">
      <c r="B25" s="109"/>
      <c r="C25" s="110"/>
      <c r="D25" s="112"/>
      <c r="E25" s="111"/>
      <c r="F25" s="112"/>
      <c r="G25" s="112"/>
      <c r="H25" s="112"/>
      <c r="I25" s="112"/>
      <c r="J25" s="113"/>
      <c r="K25" s="113"/>
    </row>
    <row r="26" spans="2:11" ht="14.1" customHeight="1" x14ac:dyDescent="0.25">
      <c r="B26" s="109"/>
      <c r="C26" s="110"/>
      <c r="D26" s="112"/>
      <c r="E26" s="111"/>
      <c r="F26" s="112"/>
      <c r="G26" s="112"/>
      <c r="H26" s="112"/>
      <c r="I26" s="112"/>
      <c r="J26" s="113"/>
      <c r="K26" s="113"/>
    </row>
    <row r="27" spans="2:11" ht="14.1" customHeight="1" x14ac:dyDescent="0.25">
      <c r="B27" s="109"/>
      <c r="C27" s="110"/>
      <c r="D27" s="112"/>
      <c r="E27" s="111"/>
      <c r="F27" s="112"/>
      <c r="G27" s="112"/>
      <c r="H27" s="112"/>
      <c r="I27" s="112"/>
      <c r="J27" s="113"/>
      <c r="K27" s="113"/>
    </row>
    <row r="28" spans="2:11" ht="14.1" customHeight="1" x14ac:dyDescent="0.25">
      <c r="B28" s="271" t="s">
        <v>58</v>
      </c>
      <c r="C28" s="272"/>
      <c r="D28" s="272"/>
      <c r="E28" s="273"/>
      <c r="F28" s="114">
        <f>SUM(F6:F27)</f>
        <v>0</v>
      </c>
      <c r="G28" s="114">
        <f>SUM(G6:G27)</f>
        <v>0</v>
      </c>
      <c r="H28" s="114">
        <f>SUM(H6:H27)</f>
        <v>0</v>
      </c>
      <c r="I28" s="114">
        <f>SUM(I6:I27)</f>
        <v>0</v>
      </c>
      <c r="J28" s="99"/>
      <c r="K28" s="99"/>
    </row>
    <row r="29" spans="2:11" ht="7.7" customHeight="1" x14ac:dyDescent="0.25">
      <c r="B29" s="115"/>
      <c r="C29" s="116"/>
      <c r="D29" s="116"/>
      <c r="E29" s="116"/>
      <c r="F29" s="117"/>
      <c r="G29" s="117"/>
      <c r="H29" s="117"/>
      <c r="I29" s="117"/>
      <c r="J29" s="99"/>
      <c r="K29" s="99"/>
    </row>
    <row r="30" spans="2:11" ht="12.95" customHeight="1" x14ac:dyDescent="0.25">
      <c r="B30" s="119" t="s">
        <v>130</v>
      </c>
      <c r="C30" s="156"/>
      <c r="D30" s="156"/>
      <c r="E30" s="156"/>
      <c r="F30" s="157"/>
      <c r="G30" s="157"/>
      <c r="H30" s="157"/>
      <c r="I30" s="157"/>
      <c r="J30" s="118"/>
      <c r="K30" s="118"/>
    </row>
    <row r="31" spans="2:11" ht="33" customHeight="1" x14ac:dyDescent="0.25">
      <c r="B31" s="268" t="s">
        <v>74</v>
      </c>
      <c r="C31" s="269"/>
      <c r="D31" s="269"/>
      <c r="E31" s="270"/>
      <c r="F31" s="139" t="s">
        <v>68</v>
      </c>
      <c r="G31" s="267" t="s">
        <v>76</v>
      </c>
      <c r="H31" s="267"/>
      <c r="I31" s="267"/>
      <c r="J31" s="118"/>
      <c r="K31" s="118"/>
    </row>
    <row r="32" spans="2:11" ht="15.75" customHeight="1" x14ac:dyDescent="0.25">
      <c r="B32" s="260" t="s">
        <v>75</v>
      </c>
      <c r="C32" s="261"/>
      <c r="D32" s="261"/>
      <c r="E32" s="262"/>
      <c r="F32" s="140">
        <f>F28</f>
        <v>0</v>
      </c>
      <c r="G32" s="266">
        <f>G28+H28+I28</f>
        <v>0</v>
      </c>
      <c r="H32" s="266"/>
      <c r="I32" s="266"/>
      <c r="J32" s="118"/>
      <c r="K32" s="118"/>
    </row>
    <row r="33" spans="2:11" ht="15.75" customHeight="1" x14ac:dyDescent="0.25">
      <c r="B33" s="260" t="s">
        <v>127</v>
      </c>
      <c r="C33" s="261"/>
      <c r="D33" s="261"/>
      <c r="E33" s="262"/>
      <c r="F33" s="140">
        <f>výpočet!C50</f>
        <v>0</v>
      </c>
      <c r="G33" s="266">
        <f>výpočet!C51</f>
        <v>0</v>
      </c>
      <c r="H33" s="266"/>
      <c r="I33" s="266"/>
      <c r="J33" s="64"/>
      <c r="K33" s="64"/>
    </row>
    <row r="34" spans="2:11" ht="15.75" customHeight="1" x14ac:dyDescent="0.25">
      <c r="B34" s="263" t="s">
        <v>73</v>
      </c>
      <c r="C34" s="264"/>
      <c r="D34" s="264"/>
      <c r="E34" s="265"/>
      <c r="F34" s="141">
        <f>F32-F33</f>
        <v>0</v>
      </c>
      <c r="G34" s="259">
        <f>G32-G33</f>
        <v>0</v>
      </c>
      <c r="H34" s="259"/>
      <c r="I34" s="259"/>
      <c r="J34" s="128"/>
      <c r="K34" s="119"/>
    </row>
    <row r="35" spans="2:11" ht="16.7" customHeight="1" x14ac:dyDescent="0.25">
      <c r="B35" s="258" t="str">
        <f>IF(F34&lt;0,"nesoulad výměry technologií s údaji v 1. listu",IF(F34=0,"","nesoulad výměry technologií s údaji v 1. listu"))</f>
        <v/>
      </c>
      <c r="C35" s="258"/>
      <c r="D35" s="258"/>
      <c r="E35" s="258"/>
      <c r="F35" s="258"/>
      <c r="G35" s="258" t="str">
        <f>IF(G34&lt;0,"nesoulad výměry technologií s údaji v 1. listu",IF(G34=0,"","nesoulad výměry technologií s údaji v 1. listu"))</f>
        <v/>
      </c>
      <c r="H35" s="258"/>
      <c r="I35" s="258"/>
    </row>
  </sheetData>
  <sheetProtection algorithmName="SHA-512" hashValue="MWDm3DRhGkoKgv+exA3WP8AhEj2zcGFnR+WqbTeABVejsDSPuLogrtwuLb0rjhwMTYhEwHKuSivWQFi1odJbFA==" saltValue="Kwd8xIA+/zFUjUWsP8P9rw==" spinCount="100000" sheet="1" formatCells="0" formatColumns="0" formatRows="0" insertRows="0"/>
  <mergeCells count="21">
    <mergeCell ref="B2:C2"/>
    <mergeCell ref="D2:G2"/>
    <mergeCell ref="G35:I35"/>
    <mergeCell ref="B35:F35"/>
    <mergeCell ref="G34:I34"/>
    <mergeCell ref="B32:E32"/>
    <mergeCell ref="B33:E33"/>
    <mergeCell ref="B34:E34"/>
    <mergeCell ref="G32:I32"/>
    <mergeCell ref="G33:I33"/>
    <mergeCell ref="G31:I31"/>
    <mergeCell ref="B31:E31"/>
    <mergeCell ref="B28:E28"/>
    <mergeCell ref="J4:J5"/>
    <mergeCell ref="K4:K5"/>
    <mergeCell ref="G4:I4"/>
    <mergeCell ref="B4:B5"/>
    <mergeCell ref="C4:C5"/>
    <mergeCell ref="D4:D5"/>
    <mergeCell ref="E4:E5"/>
    <mergeCell ref="F4:F5"/>
  </mergeCells>
  <conditionalFormatting sqref="B35:F35">
    <cfRule type="containsText" dxfId="1" priority="2" operator="containsText" text="nesoulad">
      <formula>NOT(ISERROR(SEARCH("nesoulad",B35)))</formula>
    </cfRule>
  </conditionalFormatting>
  <conditionalFormatting sqref="G35:I35">
    <cfRule type="containsText" dxfId="0" priority="1" operator="containsText" text="nesoula">
      <formula>NOT(ISERROR(SEARCH("nesoula",G35)))</formula>
    </cfRule>
  </conditionalFormatting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výpočet</vt:lpstr>
      <vt:lpstr>k tisku</vt:lpstr>
      <vt:lpstr>DPB s PT</vt:lpstr>
      <vt:lpstr>'DPB s PT'!Oblast_tisku</vt:lpstr>
      <vt:lpstr>'k tisku'!Oblast_tisku</vt:lpstr>
      <vt:lpstr>výpočet!Oblast_tisku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Klír Jan</cp:lastModifiedBy>
  <cp:lastPrinted>2026-08-13T12:26:30Z</cp:lastPrinted>
  <dcterms:created xsi:type="dcterms:W3CDTF">2021-02-01T08:42:03Z</dcterms:created>
  <dcterms:modified xsi:type="dcterms:W3CDTF">2026-08-13T14:41:30Z</dcterms:modified>
</cp:coreProperties>
</file>